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80" windowHeight="1170"/>
  </bookViews>
  <sheets>
    <sheet name="Смета 12 гр. по ФЕР" sheetId="5" r:id="rId1"/>
    <sheet name="Акт КС-2 13 гр. по ФЕР" sheetId="6" state="hidden" r:id="rId2"/>
    <sheet name="Дефектная ведомость" sheetId="7" state="hidden" r:id="rId3"/>
    <sheet name="Ведомость объемов работ" sheetId="8" state="hidden" r:id="rId4"/>
    <sheet name="RV_DATA" sheetId="10" state="hidden" r:id="rId5"/>
    <sheet name="Расчет стоимости ресурсов" sheetId="9" state="hidden" r:id="rId6"/>
    <sheet name="Source" sheetId="1" state="hidden" r:id="rId7"/>
    <sheet name="SourceObSm" sheetId="2" state="hidden" r:id="rId8"/>
    <sheet name="SmtRes" sheetId="3" state="hidden" r:id="rId9"/>
    <sheet name="EtalonRes" sheetId="4" state="hidden" r:id="rId10"/>
  </sheets>
  <definedNames>
    <definedName name="_xlnm.Print_Titles" localSheetId="1">'Акт КС-2 13 гр. по ФЕР'!$34:$34</definedName>
    <definedName name="_xlnm.Print_Titles" localSheetId="3">'Ведомость объемов работ'!$18:$18</definedName>
    <definedName name="_xlnm.Print_Titles" localSheetId="2">'Дефектная ведомость'!$18:$18</definedName>
    <definedName name="_xlnm.Print_Titles" localSheetId="5">'Расчет стоимости ресурсов'!$4:$7</definedName>
    <definedName name="_xlnm.Print_Titles" localSheetId="0">'Смета 12 гр. по ФЕР'!$36:$36</definedName>
    <definedName name="_xlnm.Print_Area" localSheetId="1">'Акт КС-2 13 гр. по ФЕР'!$A$1:$M$266</definedName>
    <definedName name="_xlnm.Print_Area" localSheetId="3">'Ведомость объемов работ'!$A$1:$E$51</definedName>
    <definedName name="_xlnm.Print_Area" localSheetId="2">'Дефектная ведомость'!$A$1:$E$63</definedName>
    <definedName name="_xlnm.Print_Area" localSheetId="5">'Расчет стоимости ресурсов'!$A$1:$F$59</definedName>
    <definedName name="_xlnm.Print_Area" localSheetId="0">'Смета 12 гр. по ФЕР'!$A$1:$L$267</definedName>
  </definedNames>
  <calcPr calcId="152511"/>
</workbook>
</file>

<file path=xl/calcChain.xml><?xml version="1.0" encoding="utf-8"?>
<calcChain xmlns="http://schemas.openxmlformats.org/spreadsheetml/2006/main">
  <c r="E37" i="9" l="1"/>
  <c r="D33" i="9"/>
  <c r="D36" i="9"/>
  <c r="E30" i="9"/>
  <c r="E12" i="9"/>
  <c r="D12" i="9"/>
  <c r="D17" i="9"/>
  <c r="E18" i="9"/>
  <c r="E25" i="9"/>
  <c r="E15" i="9"/>
  <c r="U71" i="10"/>
  <c r="I71" i="10"/>
  <c r="D57" i="9" s="1"/>
  <c r="H71" i="10"/>
  <c r="G71" i="10"/>
  <c r="F71" i="10"/>
  <c r="E71" i="10"/>
  <c r="D71" i="10"/>
  <c r="A71" i="10"/>
  <c r="U70" i="10"/>
  <c r="I70" i="10"/>
  <c r="D56" i="9" s="1"/>
  <c r="H70" i="10"/>
  <c r="G70" i="10"/>
  <c r="F70" i="10"/>
  <c r="E70" i="10"/>
  <c r="D70" i="10"/>
  <c r="A70" i="10"/>
  <c r="G69" i="10"/>
  <c r="A69" i="10"/>
  <c r="U68" i="10"/>
  <c r="I68" i="10"/>
  <c r="D52" i="9" s="1"/>
  <c r="H68" i="10"/>
  <c r="G68" i="10"/>
  <c r="F68" i="10"/>
  <c r="E68" i="10"/>
  <c r="D68" i="10"/>
  <c r="A68" i="10"/>
  <c r="G67" i="10"/>
  <c r="A67" i="10"/>
  <c r="G66" i="10"/>
  <c r="A66" i="10"/>
  <c r="U65" i="10"/>
  <c r="S65" i="10"/>
  <c r="P65" i="10"/>
  <c r="N65" i="10"/>
  <c r="E38" i="9" s="1"/>
  <c r="K65" i="10"/>
  <c r="J65" i="10"/>
  <c r="H65" i="10"/>
  <c r="G65" i="10"/>
  <c r="F65" i="10"/>
  <c r="E65" i="10"/>
  <c r="A65" i="10"/>
  <c r="U64" i="10"/>
  <c r="H64" i="10"/>
  <c r="G64" i="10"/>
  <c r="F64" i="10"/>
  <c r="E64" i="10"/>
  <c r="D64" i="10"/>
  <c r="A64" i="10"/>
  <c r="U63" i="10"/>
  <c r="S63" i="10"/>
  <c r="P63" i="10"/>
  <c r="N63" i="10"/>
  <c r="K63" i="10"/>
  <c r="J63" i="10"/>
  <c r="I63" i="10"/>
  <c r="D29" i="9" s="1"/>
  <c r="H63" i="10"/>
  <c r="G63" i="10"/>
  <c r="F63" i="10"/>
  <c r="E63" i="10"/>
  <c r="A63" i="10"/>
  <c r="U62" i="10"/>
  <c r="S62" i="10"/>
  <c r="P62" i="10"/>
  <c r="N62" i="10"/>
  <c r="K62" i="10"/>
  <c r="J62" i="10"/>
  <c r="I62" i="10"/>
  <c r="H62" i="10"/>
  <c r="G62" i="10"/>
  <c r="F62" i="10"/>
  <c r="E62" i="10"/>
  <c r="A62" i="10"/>
  <c r="U61" i="10"/>
  <c r="S61" i="10"/>
  <c r="P61" i="10"/>
  <c r="N61" i="10"/>
  <c r="K61" i="10"/>
  <c r="J61" i="10"/>
  <c r="I61" i="10"/>
  <c r="H61" i="10"/>
  <c r="G61" i="10"/>
  <c r="F61" i="10"/>
  <c r="E61" i="10"/>
  <c r="A61" i="10"/>
  <c r="U60" i="10"/>
  <c r="S60" i="10"/>
  <c r="P60" i="10"/>
  <c r="N60" i="10"/>
  <c r="E45" i="9" s="1"/>
  <c r="K60" i="10"/>
  <c r="J60" i="10"/>
  <c r="I60" i="10"/>
  <c r="H60" i="10"/>
  <c r="G60" i="10"/>
  <c r="F60" i="10"/>
  <c r="E60" i="10"/>
  <c r="A60" i="10"/>
  <c r="U59" i="10"/>
  <c r="S59" i="10"/>
  <c r="P59" i="10"/>
  <c r="N59" i="10"/>
  <c r="K59" i="10"/>
  <c r="J59" i="10"/>
  <c r="I59" i="10"/>
  <c r="H59" i="10"/>
  <c r="G59" i="10"/>
  <c r="F59" i="10"/>
  <c r="E59" i="10"/>
  <c r="A59" i="10"/>
  <c r="U58" i="10"/>
  <c r="H58" i="10"/>
  <c r="G58" i="10"/>
  <c r="F58" i="10"/>
  <c r="E58" i="10"/>
  <c r="D58" i="10"/>
  <c r="A58" i="10"/>
  <c r="U57" i="10"/>
  <c r="S57" i="10"/>
  <c r="P57" i="10"/>
  <c r="N57" i="10"/>
  <c r="K57" i="10"/>
  <c r="J57" i="10"/>
  <c r="I57" i="10"/>
  <c r="H57" i="10"/>
  <c r="G57" i="10"/>
  <c r="F57" i="10"/>
  <c r="E57" i="10"/>
  <c r="A57" i="10"/>
  <c r="U56" i="10"/>
  <c r="S56" i="10"/>
  <c r="P56" i="10"/>
  <c r="N56" i="10"/>
  <c r="K56" i="10"/>
  <c r="J56" i="10"/>
  <c r="I56" i="10"/>
  <c r="D37" i="9" s="1"/>
  <c r="H56" i="10"/>
  <c r="G56" i="10"/>
  <c r="F56" i="10"/>
  <c r="E56" i="10"/>
  <c r="A56" i="10"/>
  <c r="U55" i="10"/>
  <c r="S55" i="10"/>
  <c r="P55" i="10"/>
  <c r="N55" i="10"/>
  <c r="K55" i="10"/>
  <c r="J55" i="10"/>
  <c r="I55" i="10"/>
  <c r="H55" i="10"/>
  <c r="G55" i="10"/>
  <c r="F55" i="10"/>
  <c r="E55" i="10"/>
  <c r="A55" i="10"/>
  <c r="U54" i="10"/>
  <c r="S54" i="10"/>
  <c r="P54" i="10"/>
  <c r="N54" i="10"/>
  <c r="K54" i="10"/>
  <c r="J54" i="10"/>
  <c r="I54" i="10"/>
  <c r="H54" i="10"/>
  <c r="G54" i="10"/>
  <c r="F54" i="10"/>
  <c r="E54" i="10"/>
  <c r="A54" i="10"/>
  <c r="U53" i="10"/>
  <c r="S53" i="10"/>
  <c r="P53" i="10"/>
  <c r="N53" i="10"/>
  <c r="E29" i="9" s="1"/>
  <c r="K53" i="10"/>
  <c r="J53" i="10"/>
  <c r="I53" i="10"/>
  <c r="H53" i="10"/>
  <c r="G53" i="10"/>
  <c r="F53" i="10"/>
  <c r="E53" i="10"/>
  <c r="A53" i="10"/>
  <c r="U52" i="10"/>
  <c r="S52" i="10"/>
  <c r="P52" i="10"/>
  <c r="N52" i="10"/>
  <c r="K52" i="10"/>
  <c r="J52" i="10"/>
  <c r="I52" i="10"/>
  <c r="H52" i="10"/>
  <c r="G52" i="10"/>
  <c r="F52" i="10"/>
  <c r="E52" i="10"/>
  <c r="A52" i="10"/>
  <c r="U51" i="10"/>
  <c r="S51" i="10"/>
  <c r="P51" i="10"/>
  <c r="N51" i="10"/>
  <c r="E44" i="9" s="1"/>
  <c r="K51" i="10"/>
  <c r="J51" i="10"/>
  <c r="I51" i="10"/>
  <c r="D44" i="9" s="1"/>
  <c r="H51" i="10"/>
  <c r="G51" i="10"/>
  <c r="F51" i="10"/>
  <c r="E51" i="10"/>
  <c r="A51" i="10"/>
  <c r="U50" i="10"/>
  <c r="S50" i="10"/>
  <c r="P50" i="10"/>
  <c r="N50" i="10"/>
  <c r="K50" i="10"/>
  <c r="J50" i="10"/>
  <c r="I50" i="10"/>
  <c r="H50" i="10"/>
  <c r="G50" i="10"/>
  <c r="F50" i="10"/>
  <c r="E50" i="10"/>
  <c r="A50" i="10"/>
  <c r="U49" i="10"/>
  <c r="H49" i="10"/>
  <c r="G49" i="10"/>
  <c r="F49" i="10"/>
  <c r="E49" i="10"/>
  <c r="D49" i="10"/>
  <c r="A49" i="10"/>
  <c r="U48" i="10"/>
  <c r="S48" i="10"/>
  <c r="P48" i="10"/>
  <c r="N48" i="10"/>
  <c r="E33" i="9" s="1"/>
  <c r="K48" i="10"/>
  <c r="J48" i="10"/>
  <c r="I48" i="10"/>
  <c r="H48" i="10"/>
  <c r="G48" i="10"/>
  <c r="F48" i="10"/>
  <c r="E48" i="10"/>
  <c r="A48" i="10"/>
  <c r="U47" i="10"/>
  <c r="S47" i="10"/>
  <c r="P47" i="10"/>
  <c r="N47" i="10"/>
  <c r="K47" i="10"/>
  <c r="J47" i="10"/>
  <c r="I47" i="10"/>
  <c r="H47" i="10"/>
  <c r="G47" i="10"/>
  <c r="F47" i="10"/>
  <c r="E47" i="10"/>
  <c r="A47" i="10"/>
  <c r="U46" i="10"/>
  <c r="S46" i="10"/>
  <c r="P46" i="10"/>
  <c r="N46" i="10"/>
  <c r="E36" i="9" s="1"/>
  <c r="K46" i="10"/>
  <c r="J46" i="10"/>
  <c r="I46" i="10"/>
  <c r="H46" i="10"/>
  <c r="G46" i="10"/>
  <c r="F46" i="10"/>
  <c r="E46" i="10"/>
  <c r="A46" i="10"/>
  <c r="U45" i="10"/>
  <c r="S45" i="10"/>
  <c r="P45" i="10"/>
  <c r="N45" i="10"/>
  <c r="E43" i="9" s="1"/>
  <c r="K45" i="10"/>
  <c r="J45" i="10"/>
  <c r="I45" i="10"/>
  <c r="D43" i="9" s="1"/>
  <c r="H45" i="10"/>
  <c r="G45" i="10"/>
  <c r="F45" i="10"/>
  <c r="E45" i="10"/>
  <c r="A45" i="10"/>
  <c r="U44" i="10"/>
  <c r="S44" i="10"/>
  <c r="P44" i="10"/>
  <c r="N44" i="10"/>
  <c r="K44" i="10"/>
  <c r="J44" i="10"/>
  <c r="I44" i="10"/>
  <c r="H44" i="10"/>
  <c r="G44" i="10"/>
  <c r="F44" i="10"/>
  <c r="E44" i="10"/>
  <c r="A44" i="10"/>
  <c r="U43" i="10"/>
  <c r="S43" i="10"/>
  <c r="P43" i="10"/>
  <c r="N43" i="10"/>
  <c r="K43" i="10"/>
  <c r="J43" i="10"/>
  <c r="I43" i="10"/>
  <c r="H43" i="10"/>
  <c r="G43" i="10"/>
  <c r="F43" i="10"/>
  <c r="E43" i="10"/>
  <c r="A43" i="10"/>
  <c r="U42" i="10"/>
  <c r="S42" i="10"/>
  <c r="P42" i="10"/>
  <c r="N42" i="10"/>
  <c r="K42" i="10"/>
  <c r="J42" i="10"/>
  <c r="I42" i="10"/>
  <c r="H42" i="10"/>
  <c r="G42" i="10"/>
  <c r="F42" i="10"/>
  <c r="E42" i="10"/>
  <c r="A42" i="10"/>
  <c r="U41" i="10"/>
  <c r="S41" i="10"/>
  <c r="P41" i="10"/>
  <c r="N41" i="10"/>
  <c r="K41" i="10"/>
  <c r="J41" i="10"/>
  <c r="I41" i="10"/>
  <c r="H41" i="10"/>
  <c r="G41" i="10"/>
  <c r="F41" i="10"/>
  <c r="E41" i="10"/>
  <c r="A41" i="10"/>
  <c r="U40" i="10"/>
  <c r="S40" i="10"/>
  <c r="P40" i="10"/>
  <c r="N40" i="10"/>
  <c r="K40" i="10"/>
  <c r="J40" i="10"/>
  <c r="I40" i="10"/>
  <c r="H40" i="10"/>
  <c r="G40" i="10"/>
  <c r="F40" i="10"/>
  <c r="E40" i="10"/>
  <c r="A40" i="10"/>
  <c r="U39" i="10"/>
  <c r="S39" i="10"/>
  <c r="P39" i="10"/>
  <c r="N39" i="10"/>
  <c r="K39" i="10"/>
  <c r="J39" i="10"/>
  <c r="I39" i="10"/>
  <c r="H39" i="10"/>
  <c r="G39" i="10"/>
  <c r="F39" i="10"/>
  <c r="E39" i="10"/>
  <c r="A39" i="10"/>
  <c r="U38" i="10"/>
  <c r="S38" i="10"/>
  <c r="P38" i="10"/>
  <c r="N38" i="10"/>
  <c r="K38" i="10"/>
  <c r="J38" i="10"/>
  <c r="I38" i="10"/>
  <c r="H38" i="10"/>
  <c r="G38" i="10"/>
  <c r="F38" i="10"/>
  <c r="E38" i="10"/>
  <c r="A38" i="10"/>
  <c r="U37" i="10"/>
  <c r="S37" i="10"/>
  <c r="P37" i="10"/>
  <c r="N37" i="10"/>
  <c r="E42" i="9" s="1"/>
  <c r="K37" i="10"/>
  <c r="J37" i="10"/>
  <c r="I37" i="10"/>
  <c r="D42" i="9" s="1"/>
  <c r="H37" i="10"/>
  <c r="G37" i="10"/>
  <c r="F37" i="10"/>
  <c r="E37" i="10"/>
  <c r="A37" i="10"/>
  <c r="U36" i="10"/>
  <c r="S36" i="10"/>
  <c r="P36" i="10"/>
  <c r="N36" i="10"/>
  <c r="K36" i="10"/>
  <c r="J36" i="10"/>
  <c r="I36" i="10"/>
  <c r="H36" i="10"/>
  <c r="G36" i="10"/>
  <c r="F36" i="10"/>
  <c r="E36" i="10"/>
  <c r="A36" i="10"/>
  <c r="U35" i="10"/>
  <c r="S35" i="10"/>
  <c r="P35" i="10"/>
  <c r="N35" i="10"/>
  <c r="K35" i="10"/>
  <c r="J35" i="10"/>
  <c r="H35" i="10"/>
  <c r="G35" i="10"/>
  <c r="F35" i="10"/>
  <c r="E35" i="10"/>
  <c r="A35" i="10"/>
  <c r="U34" i="10"/>
  <c r="S34" i="10"/>
  <c r="P34" i="10"/>
  <c r="N34" i="10"/>
  <c r="E32" i="9" s="1"/>
  <c r="K34" i="10"/>
  <c r="J34" i="10"/>
  <c r="H34" i="10"/>
  <c r="G34" i="10"/>
  <c r="F34" i="10"/>
  <c r="E34" i="10"/>
  <c r="A34" i="10"/>
  <c r="U33" i="10"/>
  <c r="S33" i="10"/>
  <c r="P33" i="10"/>
  <c r="N33" i="10"/>
  <c r="E34" i="9" s="1"/>
  <c r="K33" i="10"/>
  <c r="J33" i="10"/>
  <c r="H33" i="10"/>
  <c r="G33" i="10"/>
  <c r="F33" i="10"/>
  <c r="E33" i="10"/>
  <c r="A33" i="10"/>
  <c r="U32" i="10"/>
  <c r="S32" i="10"/>
  <c r="P32" i="10"/>
  <c r="N32" i="10"/>
  <c r="E35" i="9" s="1"/>
  <c r="K32" i="10"/>
  <c r="J32" i="10"/>
  <c r="H32" i="10"/>
  <c r="G32" i="10"/>
  <c r="F32" i="10"/>
  <c r="E32" i="10"/>
  <c r="A32" i="10"/>
  <c r="U31" i="10"/>
  <c r="S31" i="10"/>
  <c r="P31" i="10"/>
  <c r="N31" i="10"/>
  <c r="E39" i="9" s="1"/>
  <c r="K31" i="10"/>
  <c r="J31" i="10"/>
  <c r="H31" i="10"/>
  <c r="G31" i="10"/>
  <c r="F31" i="10"/>
  <c r="E31" i="10"/>
  <c r="A31" i="10"/>
  <c r="U30" i="10"/>
  <c r="S30" i="10"/>
  <c r="P30" i="10"/>
  <c r="N30" i="10"/>
  <c r="E47" i="9" s="1"/>
  <c r="K30" i="10"/>
  <c r="J30" i="10"/>
  <c r="H30" i="10"/>
  <c r="G30" i="10"/>
  <c r="F30" i="10"/>
  <c r="E30" i="10"/>
  <c r="A30" i="10"/>
  <c r="U29" i="10"/>
  <c r="H29" i="10"/>
  <c r="G29" i="10"/>
  <c r="F29" i="10"/>
  <c r="E29" i="10"/>
  <c r="D29" i="10"/>
  <c r="A29" i="10"/>
  <c r="U28" i="10"/>
  <c r="S28" i="10"/>
  <c r="P28" i="10"/>
  <c r="N28" i="10"/>
  <c r="E46" i="9" s="1"/>
  <c r="K28" i="10"/>
  <c r="J28" i="10"/>
  <c r="H28" i="10"/>
  <c r="G28" i="10"/>
  <c r="F28" i="10"/>
  <c r="E28" i="10"/>
  <c r="A28" i="10"/>
  <c r="G27" i="10"/>
  <c r="A27" i="10"/>
  <c r="U26" i="10"/>
  <c r="H26" i="10"/>
  <c r="G26" i="10"/>
  <c r="F26" i="10"/>
  <c r="E26" i="10"/>
  <c r="D26" i="10"/>
  <c r="A26" i="10"/>
  <c r="U25" i="10"/>
  <c r="S25" i="10"/>
  <c r="P25" i="10"/>
  <c r="N25" i="10"/>
  <c r="E20" i="9" s="1"/>
  <c r="K25" i="10"/>
  <c r="J25" i="10"/>
  <c r="H25" i="10"/>
  <c r="G25" i="10"/>
  <c r="F25" i="10"/>
  <c r="E25" i="10"/>
  <c r="A25" i="10"/>
  <c r="U24" i="10"/>
  <c r="S24" i="10"/>
  <c r="P24" i="10"/>
  <c r="N24" i="10"/>
  <c r="K24" i="10"/>
  <c r="J24" i="10"/>
  <c r="H24" i="10"/>
  <c r="G24" i="10"/>
  <c r="F24" i="10"/>
  <c r="E24" i="10"/>
  <c r="A24" i="10"/>
  <c r="U23" i="10"/>
  <c r="S23" i="10"/>
  <c r="P23" i="10"/>
  <c r="N23" i="10"/>
  <c r="E19" i="9" s="1"/>
  <c r="K23" i="10"/>
  <c r="J23" i="10"/>
  <c r="I23" i="10"/>
  <c r="H23" i="10"/>
  <c r="G23" i="10"/>
  <c r="F23" i="10"/>
  <c r="E23" i="10"/>
  <c r="A23" i="10"/>
  <c r="U22" i="10"/>
  <c r="H22" i="10"/>
  <c r="G22" i="10"/>
  <c r="F22" i="10"/>
  <c r="E22" i="10"/>
  <c r="D22" i="10"/>
  <c r="A22" i="10"/>
  <c r="U21" i="10"/>
  <c r="H21" i="10"/>
  <c r="G21" i="10"/>
  <c r="F21" i="10"/>
  <c r="E21" i="10"/>
  <c r="D21" i="10"/>
  <c r="A21" i="10"/>
  <c r="U20" i="10"/>
  <c r="S20" i="10"/>
  <c r="P20" i="10"/>
  <c r="N20" i="10"/>
  <c r="E11" i="9" s="1"/>
  <c r="K20" i="10"/>
  <c r="J20" i="10"/>
  <c r="I20" i="10"/>
  <c r="D11" i="9" s="1"/>
  <c r="H20" i="10"/>
  <c r="G20" i="10"/>
  <c r="F20" i="10"/>
  <c r="E20" i="10"/>
  <c r="A20" i="10"/>
  <c r="U19" i="10"/>
  <c r="S19" i="10"/>
  <c r="P19" i="10"/>
  <c r="N19" i="10"/>
  <c r="K19" i="10"/>
  <c r="J19" i="10"/>
  <c r="I19" i="10"/>
  <c r="H19" i="10"/>
  <c r="G19" i="10"/>
  <c r="F19" i="10"/>
  <c r="E19" i="10"/>
  <c r="A19" i="10"/>
  <c r="U18" i="10"/>
  <c r="S18" i="10"/>
  <c r="P18" i="10"/>
  <c r="N18" i="10"/>
  <c r="E14" i="9" s="1"/>
  <c r="K18" i="10"/>
  <c r="J18" i="10"/>
  <c r="I18" i="10"/>
  <c r="D14" i="9" s="1"/>
  <c r="H18" i="10"/>
  <c r="G18" i="10"/>
  <c r="F18" i="10"/>
  <c r="E18" i="10"/>
  <c r="A18" i="10"/>
  <c r="U17" i="10"/>
  <c r="S17" i="10"/>
  <c r="P17" i="10"/>
  <c r="N17" i="10"/>
  <c r="E17" i="9" s="1"/>
  <c r="K17" i="10"/>
  <c r="J17" i="10"/>
  <c r="I17" i="10"/>
  <c r="H17" i="10"/>
  <c r="G17" i="10"/>
  <c r="F17" i="10"/>
  <c r="E17" i="10"/>
  <c r="A17" i="10"/>
  <c r="U16" i="10"/>
  <c r="S16" i="10"/>
  <c r="P16" i="10"/>
  <c r="N16" i="10"/>
  <c r="K16" i="10"/>
  <c r="J16" i="10"/>
  <c r="I16" i="10"/>
  <c r="D18" i="9" s="1"/>
  <c r="H16" i="10"/>
  <c r="G16" i="10"/>
  <c r="F16" i="10"/>
  <c r="E16" i="10"/>
  <c r="A16" i="10"/>
  <c r="U15" i="10"/>
  <c r="S15" i="10"/>
  <c r="P15" i="10"/>
  <c r="N15" i="10"/>
  <c r="K15" i="10"/>
  <c r="J15" i="10"/>
  <c r="I15" i="10"/>
  <c r="H15" i="10"/>
  <c r="G15" i="10"/>
  <c r="F15" i="10"/>
  <c r="E15" i="10"/>
  <c r="A15" i="10"/>
  <c r="U14" i="10"/>
  <c r="S14" i="10"/>
  <c r="P14" i="10"/>
  <c r="N14" i="10"/>
  <c r="K14" i="10"/>
  <c r="J14" i="10"/>
  <c r="I14" i="10"/>
  <c r="D25" i="9" s="1"/>
  <c r="H14" i="10"/>
  <c r="G14" i="10"/>
  <c r="F14" i="10"/>
  <c r="E14" i="10"/>
  <c r="A14" i="10"/>
  <c r="U13" i="10"/>
  <c r="H13" i="10"/>
  <c r="G13" i="10"/>
  <c r="F13" i="10"/>
  <c r="E13" i="10"/>
  <c r="D13" i="10"/>
  <c r="A13" i="10"/>
  <c r="U12" i="10"/>
  <c r="S12" i="10"/>
  <c r="P12" i="10"/>
  <c r="N12" i="10"/>
  <c r="K12" i="10"/>
  <c r="J12" i="10"/>
  <c r="I12" i="10"/>
  <c r="H12" i="10"/>
  <c r="G12" i="10"/>
  <c r="F12" i="10"/>
  <c r="E12" i="10"/>
  <c r="A12" i="10"/>
  <c r="U11" i="10"/>
  <c r="S11" i="10"/>
  <c r="P11" i="10"/>
  <c r="N11" i="10"/>
  <c r="E13" i="9" s="1"/>
  <c r="K11" i="10"/>
  <c r="J11" i="10"/>
  <c r="H11" i="10"/>
  <c r="G11" i="10"/>
  <c r="F11" i="10"/>
  <c r="E11" i="10"/>
  <c r="A11" i="10"/>
  <c r="U10" i="10"/>
  <c r="S10" i="10"/>
  <c r="P10" i="10"/>
  <c r="N10" i="10"/>
  <c r="K10" i="10"/>
  <c r="J10" i="10"/>
  <c r="H10" i="10"/>
  <c r="G10" i="10"/>
  <c r="F10" i="10"/>
  <c r="E10" i="10"/>
  <c r="A10" i="10"/>
  <c r="U9" i="10"/>
  <c r="S9" i="10"/>
  <c r="P9" i="10"/>
  <c r="N9" i="10"/>
  <c r="E22" i="9" s="1"/>
  <c r="K9" i="10"/>
  <c r="J9" i="10"/>
  <c r="H9" i="10"/>
  <c r="G9" i="10"/>
  <c r="F9" i="10"/>
  <c r="E9" i="10"/>
  <c r="A9" i="10"/>
  <c r="U8" i="10"/>
  <c r="S8" i="10"/>
  <c r="P8" i="10"/>
  <c r="N8" i="10"/>
  <c r="E23" i="9" s="1"/>
  <c r="K8" i="10"/>
  <c r="J8" i="10"/>
  <c r="H8" i="10"/>
  <c r="G8" i="10"/>
  <c r="F8" i="10"/>
  <c r="E8" i="10"/>
  <c r="A8" i="10"/>
  <c r="G7" i="10"/>
  <c r="A7" i="10"/>
  <c r="G6" i="10"/>
  <c r="A6" i="10"/>
  <c r="A46" i="8"/>
  <c r="A45" i="8"/>
  <c r="D44" i="8"/>
  <c r="C44" i="8"/>
  <c r="B44" i="8"/>
  <c r="D43" i="8"/>
  <c r="C43" i="8"/>
  <c r="B43" i="8"/>
  <c r="A42" i="8"/>
  <c r="C41" i="8"/>
  <c r="B41" i="8"/>
  <c r="D40" i="8"/>
  <c r="C40" i="8"/>
  <c r="B40" i="8"/>
  <c r="D39" i="8"/>
  <c r="C39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D34" i="8"/>
  <c r="C34" i="8"/>
  <c r="B34" i="8"/>
  <c r="C33" i="8"/>
  <c r="B33" i="8"/>
  <c r="C32" i="8"/>
  <c r="B32" i="8"/>
  <c r="A31" i="8"/>
  <c r="C30" i="8"/>
  <c r="B30" i="8"/>
  <c r="C29" i="8"/>
  <c r="B29" i="8"/>
  <c r="D28" i="8"/>
  <c r="C28" i="8"/>
  <c r="B28" i="8"/>
  <c r="D27" i="8"/>
  <c r="C27" i="8"/>
  <c r="B27" i="8"/>
  <c r="D26" i="8"/>
  <c r="C26" i="8"/>
  <c r="B26" i="8"/>
  <c r="C25" i="8"/>
  <c r="B25" i="8"/>
  <c r="C24" i="8"/>
  <c r="B24" i="8"/>
  <c r="C23" i="8"/>
  <c r="B23" i="8"/>
  <c r="C22" i="8"/>
  <c r="B22" i="8"/>
  <c r="C21" i="8"/>
  <c r="B21" i="8"/>
  <c r="A20" i="8"/>
  <c r="AE19" i="8"/>
  <c r="A19" i="8"/>
  <c r="A12" i="8"/>
  <c r="A11" i="8"/>
  <c r="A1" i="8"/>
  <c r="D58" i="7"/>
  <c r="C58" i="7"/>
  <c r="B58" i="7"/>
  <c r="A58" i="7"/>
  <c r="D57" i="7"/>
  <c r="C57" i="7"/>
  <c r="B57" i="7"/>
  <c r="A57" i="7"/>
  <c r="A56" i="7"/>
  <c r="D55" i="7"/>
  <c r="C55" i="7"/>
  <c r="B55" i="7"/>
  <c r="A55" i="7"/>
  <c r="A54" i="7"/>
  <c r="D53" i="7"/>
  <c r="C53" i="7"/>
  <c r="B53" i="7"/>
  <c r="A53" i="7"/>
  <c r="D52" i="7"/>
  <c r="C52" i="7"/>
  <c r="B52" i="7"/>
  <c r="A52" i="7"/>
  <c r="A51" i="7"/>
  <c r="C50" i="7"/>
  <c r="B50" i="7"/>
  <c r="A50" i="7"/>
  <c r="C49" i="7"/>
  <c r="B49" i="7"/>
  <c r="A49" i="7"/>
  <c r="D48" i="7"/>
  <c r="C48" i="7"/>
  <c r="B48" i="7"/>
  <c r="A48" i="7"/>
  <c r="C47" i="7"/>
  <c r="B47" i="7"/>
  <c r="A47" i="7"/>
  <c r="D46" i="7"/>
  <c r="C46" i="7"/>
  <c r="B46" i="7"/>
  <c r="A46" i="7"/>
  <c r="D45" i="7"/>
  <c r="C45" i="7"/>
  <c r="B45" i="7"/>
  <c r="A45" i="7"/>
  <c r="D44" i="7"/>
  <c r="C44" i="7"/>
  <c r="B44" i="7"/>
  <c r="A44" i="7"/>
  <c r="C43" i="7"/>
  <c r="B43" i="7"/>
  <c r="A43" i="7"/>
  <c r="D42" i="7"/>
  <c r="C42" i="7"/>
  <c r="B42" i="7"/>
  <c r="A42" i="7"/>
  <c r="D41" i="7"/>
  <c r="C41" i="7"/>
  <c r="B41" i="7"/>
  <c r="A41" i="7"/>
  <c r="D40" i="7"/>
  <c r="C40" i="7"/>
  <c r="B40" i="7"/>
  <c r="A40" i="7"/>
  <c r="C39" i="7"/>
  <c r="B39" i="7"/>
  <c r="A39" i="7"/>
  <c r="C38" i="7"/>
  <c r="B38" i="7"/>
  <c r="A38" i="7"/>
  <c r="C37" i="7"/>
  <c r="B37" i="7"/>
  <c r="A37" i="7"/>
  <c r="A36" i="7"/>
  <c r="C35" i="7"/>
  <c r="B35" i="7"/>
  <c r="A35" i="7"/>
  <c r="C34" i="7"/>
  <c r="B34" i="7"/>
  <c r="A34" i="7"/>
  <c r="C33" i="7"/>
  <c r="B33" i="7"/>
  <c r="A33" i="7"/>
  <c r="D32" i="7"/>
  <c r="C32" i="7"/>
  <c r="B32" i="7"/>
  <c r="A32" i="7"/>
  <c r="C31" i="7"/>
  <c r="B31" i="7"/>
  <c r="A31" i="7"/>
  <c r="C30" i="7"/>
  <c r="B30" i="7"/>
  <c r="A30" i="7"/>
  <c r="D29" i="7"/>
  <c r="C29" i="7"/>
  <c r="B29" i="7"/>
  <c r="A29" i="7"/>
  <c r="C28" i="7"/>
  <c r="B28" i="7"/>
  <c r="A28" i="7"/>
  <c r="C27" i="7"/>
  <c r="B27" i="7"/>
  <c r="A27" i="7"/>
  <c r="D26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A20" i="7"/>
  <c r="AE19" i="7"/>
  <c r="A19" i="7"/>
  <c r="A12" i="7"/>
  <c r="A11" i="7"/>
  <c r="A1" i="7"/>
  <c r="D257" i="6"/>
  <c r="D256" i="6"/>
  <c r="D255" i="6"/>
  <c r="D254" i="6"/>
  <c r="D253" i="6"/>
  <c r="D252" i="6"/>
  <c r="D251" i="6"/>
  <c r="D243" i="6"/>
  <c r="D242" i="6"/>
  <c r="Z237" i="6"/>
  <c r="Y237" i="6"/>
  <c r="X237" i="6"/>
  <c r="K236" i="6"/>
  <c r="H236" i="6"/>
  <c r="G236" i="6"/>
  <c r="F236" i="6"/>
  <c r="E236" i="6"/>
  <c r="J236" i="6"/>
  <c r="D236" i="6"/>
  <c r="B236" i="6"/>
  <c r="Z235" i="6"/>
  <c r="Y235" i="6"/>
  <c r="X235" i="6"/>
  <c r="K234" i="6"/>
  <c r="H234" i="6"/>
  <c r="G234" i="6"/>
  <c r="F234" i="6"/>
  <c r="E234" i="6"/>
  <c r="J234" i="6"/>
  <c r="D234" i="6"/>
  <c r="B234" i="6"/>
  <c r="A233" i="6"/>
  <c r="Z227" i="6"/>
  <c r="Y227" i="6"/>
  <c r="X227" i="6"/>
  <c r="K226" i="6"/>
  <c r="H226" i="6"/>
  <c r="G226" i="6"/>
  <c r="F226" i="6"/>
  <c r="E226" i="6"/>
  <c r="J226" i="6"/>
  <c r="D226" i="6"/>
  <c r="B226" i="6"/>
  <c r="A225" i="6"/>
  <c r="Y219" i="6"/>
  <c r="X219" i="6"/>
  <c r="W219" i="6"/>
  <c r="H218" i="6"/>
  <c r="F218" i="6"/>
  <c r="K217" i="6"/>
  <c r="F217" i="6"/>
  <c r="K216" i="6"/>
  <c r="F216" i="6"/>
  <c r="K215" i="6"/>
  <c r="H215" i="6"/>
  <c r="G215" i="6"/>
  <c r="G214" i="6"/>
  <c r="F214" i="6"/>
  <c r="E214" i="6"/>
  <c r="J214" i="6"/>
  <c r="D214" i="6"/>
  <c r="B214" i="6"/>
  <c r="Y213" i="6"/>
  <c r="X213" i="6"/>
  <c r="W213" i="6"/>
  <c r="H212" i="6"/>
  <c r="F212" i="6"/>
  <c r="K211" i="6"/>
  <c r="F211" i="6"/>
  <c r="K210" i="6"/>
  <c r="F210" i="6"/>
  <c r="K209" i="6"/>
  <c r="H209" i="6"/>
  <c r="G209" i="6"/>
  <c r="G208" i="6"/>
  <c r="F208" i="6"/>
  <c r="E208" i="6"/>
  <c r="J208" i="6"/>
  <c r="D208" i="6"/>
  <c r="B208" i="6"/>
  <c r="A207" i="6"/>
  <c r="Z201" i="6"/>
  <c r="Y201" i="6"/>
  <c r="W201" i="6"/>
  <c r="H200" i="6"/>
  <c r="F200" i="6"/>
  <c r="K199" i="6"/>
  <c r="F199" i="6"/>
  <c r="K198" i="6"/>
  <c r="F198" i="6"/>
  <c r="K197" i="6"/>
  <c r="H197" i="6"/>
  <c r="G197" i="6"/>
  <c r="K196" i="6"/>
  <c r="H196" i="6"/>
  <c r="G196" i="6"/>
  <c r="K195" i="6"/>
  <c r="H195" i="6"/>
  <c r="G195" i="6"/>
  <c r="G194" i="6"/>
  <c r="E194" i="6"/>
  <c r="J194" i="6"/>
  <c r="D194" i="6"/>
  <c r="B194" i="6"/>
  <c r="Z193" i="6"/>
  <c r="Y193" i="6"/>
  <c r="W193" i="6"/>
  <c r="K192" i="6"/>
  <c r="Z192" i="6"/>
  <c r="Y192" i="6"/>
  <c r="W192" i="6"/>
  <c r="G192" i="6"/>
  <c r="E192" i="6"/>
  <c r="D192" i="6"/>
  <c r="B192" i="6"/>
  <c r="H191" i="6"/>
  <c r="F191" i="6"/>
  <c r="K190" i="6"/>
  <c r="F190" i="6"/>
  <c r="K189" i="6"/>
  <c r="F189" i="6"/>
  <c r="K188" i="6"/>
  <c r="H188" i="6"/>
  <c r="G188" i="6"/>
  <c r="K187" i="6"/>
  <c r="H187" i="6"/>
  <c r="G187" i="6"/>
  <c r="K186" i="6"/>
  <c r="H186" i="6"/>
  <c r="G186" i="6"/>
  <c r="K185" i="6"/>
  <c r="H185" i="6"/>
  <c r="G185" i="6"/>
  <c r="G184" i="6"/>
  <c r="F184" i="6"/>
  <c r="E184" i="6"/>
  <c r="J184" i="6"/>
  <c r="D184" i="6"/>
  <c r="B184" i="6"/>
  <c r="Z183" i="6"/>
  <c r="Y183" i="6"/>
  <c r="W183" i="6"/>
  <c r="K182" i="6"/>
  <c r="Z182" i="6"/>
  <c r="Y182" i="6"/>
  <c r="W182" i="6"/>
  <c r="G182" i="6"/>
  <c r="E182" i="6"/>
  <c r="D182" i="6"/>
  <c r="B182" i="6"/>
  <c r="H181" i="6"/>
  <c r="F181" i="6"/>
  <c r="K180" i="6"/>
  <c r="F180" i="6"/>
  <c r="K179" i="6"/>
  <c r="F179" i="6"/>
  <c r="K178" i="6"/>
  <c r="H178" i="6"/>
  <c r="G178" i="6"/>
  <c r="K177" i="6"/>
  <c r="H177" i="6"/>
  <c r="G177" i="6"/>
  <c r="K176" i="6"/>
  <c r="H176" i="6"/>
  <c r="G176" i="6"/>
  <c r="K175" i="6"/>
  <c r="H175" i="6"/>
  <c r="G175" i="6"/>
  <c r="G174" i="6"/>
  <c r="F174" i="6"/>
  <c r="E174" i="6"/>
  <c r="J174" i="6"/>
  <c r="D174" i="6"/>
  <c r="B174" i="6"/>
  <c r="Z173" i="6"/>
  <c r="Y173" i="6"/>
  <c r="W173" i="6"/>
  <c r="H172" i="6"/>
  <c r="F172" i="6"/>
  <c r="K171" i="6"/>
  <c r="F171" i="6"/>
  <c r="K170" i="6"/>
  <c r="F170" i="6"/>
  <c r="K169" i="6"/>
  <c r="H169" i="6"/>
  <c r="G169" i="6"/>
  <c r="K168" i="6"/>
  <c r="H168" i="6"/>
  <c r="G168" i="6"/>
  <c r="G167" i="6"/>
  <c r="F167" i="6"/>
  <c r="E167" i="6"/>
  <c r="J167" i="6"/>
  <c r="D167" i="6"/>
  <c r="B167" i="6"/>
  <c r="Z166" i="6"/>
  <c r="Y166" i="6"/>
  <c r="W166" i="6"/>
  <c r="H165" i="6"/>
  <c r="F165" i="6"/>
  <c r="K164" i="6"/>
  <c r="F164" i="6"/>
  <c r="K163" i="6"/>
  <c r="F163" i="6"/>
  <c r="K162" i="6"/>
  <c r="H162" i="6"/>
  <c r="G162" i="6"/>
  <c r="K161" i="6"/>
  <c r="H161" i="6"/>
  <c r="G161" i="6"/>
  <c r="K160" i="6"/>
  <c r="H160" i="6"/>
  <c r="G160" i="6"/>
  <c r="K159" i="6"/>
  <c r="H159" i="6"/>
  <c r="G159" i="6"/>
  <c r="G158" i="6"/>
  <c r="F158" i="6"/>
  <c r="E158" i="6"/>
  <c r="J158" i="6"/>
  <c r="D158" i="6"/>
  <c r="B158" i="6"/>
  <c r="Z157" i="6"/>
  <c r="Y157" i="6"/>
  <c r="W157" i="6"/>
  <c r="K156" i="6"/>
  <c r="Z156" i="6"/>
  <c r="Y156" i="6"/>
  <c r="X156" i="6"/>
  <c r="G156" i="6"/>
  <c r="E156" i="6"/>
  <c r="D156" i="6"/>
  <c r="B156" i="6"/>
  <c r="H155" i="6"/>
  <c r="F155" i="6"/>
  <c r="K154" i="6"/>
  <c r="F154" i="6"/>
  <c r="K153" i="6"/>
  <c r="F153" i="6"/>
  <c r="K152" i="6"/>
  <c r="H152" i="6"/>
  <c r="G152" i="6"/>
  <c r="K151" i="6"/>
  <c r="H151" i="6"/>
  <c r="G151" i="6"/>
  <c r="K150" i="6"/>
  <c r="H150" i="6"/>
  <c r="G150" i="6"/>
  <c r="G149" i="6"/>
  <c r="F149" i="6"/>
  <c r="E149" i="6"/>
  <c r="J149" i="6"/>
  <c r="D149" i="6"/>
  <c r="B149" i="6"/>
  <c r="Z148" i="6"/>
  <c r="Y148" i="6"/>
  <c r="W148" i="6"/>
  <c r="H147" i="6"/>
  <c r="F147" i="6"/>
  <c r="K146" i="6"/>
  <c r="F146" i="6"/>
  <c r="K145" i="6"/>
  <c r="F145" i="6"/>
  <c r="K144" i="6"/>
  <c r="H144" i="6"/>
  <c r="G144" i="6"/>
  <c r="K143" i="6"/>
  <c r="H143" i="6"/>
  <c r="G143" i="6"/>
  <c r="K142" i="6"/>
  <c r="H142" i="6"/>
  <c r="G142" i="6"/>
  <c r="K141" i="6"/>
  <c r="H141" i="6"/>
  <c r="G141" i="6"/>
  <c r="G140" i="6"/>
  <c r="F140" i="6"/>
  <c r="E140" i="6"/>
  <c r="J140" i="6"/>
  <c r="D140" i="6"/>
  <c r="B140" i="6"/>
  <c r="Z139" i="6"/>
  <c r="Y139" i="6"/>
  <c r="W139" i="6"/>
  <c r="H138" i="6"/>
  <c r="F138" i="6"/>
  <c r="K137" i="6"/>
  <c r="F137" i="6"/>
  <c r="K136" i="6"/>
  <c r="F136" i="6"/>
  <c r="K135" i="6"/>
  <c r="H135" i="6"/>
  <c r="G135" i="6"/>
  <c r="K134" i="6"/>
  <c r="H134" i="6"/>
  <c r="G134" i="6"/>
  <c r="K133" i="6"/>
  <c r="H133" i="6"/>
  <c r="G133" i="6"/>
  <c r="K132" i="6"/>
  <c r="H132" i="6"/>
  <c r="G132" i="6"/>
  <c r="G131" i="6"/>
  <c r="F131" i="6"/>
  <c r="E131" i="6"/>
  <c r="J131" i="6"/>
  <c r="D131" i="6"/>
  <c r="B131" i="6"/>
  <c r="Z130" i="6"/>
  <c r="Y130" i="6"/>
  <c r="W130" i="6"/>
  <c r="H129" i="6"/>
  <c r="F129" i="6"/>
  <c r="K128" i="6"/>
  <c r="F128" i="6"/>
  <c r="K127" i="6"/>
  <c r="F127" i="6"/>
  <c r="K126" i="6"/>
  <c r="H126" i="6"/>
  <c r="G126" i="6"/>
  <c r="K125" i="6"/>
  <c r="H125" i="6"/>
  <c r="G125" i="6"/>
  <c r="K124" i="6"/>
  <c r="H124" i="6"/>
  <c r="G124" i="6"/>
  <c r="K123" i="6"/>
  <c r="H123" i="6"/>
  <c r="G123" i="6"/>
  <c r="G122" i="6"/>
  <c r="E122" i="6"/>
  <c r="J122" i="6"/>
  <c r="D122" i="6"/>
  <c r="B122" i="6"/>
  <c r="Z121" i="6"/>
  <c r="Y121" i="6"/>
  <c r="W121" i="6"/>
  <c r="K120" i="6"/>
  <c r="Z120" i="6"/>
  <c r="Y120" i="6"/>
  <c r="W120" i="6"/>
  <c r="G120" i="6"/>
  <c r="E120" i="6"/>
  <c r="D120" i="6"/>
  <c r="B120" i="6"/>
  <c r="H119" i="6"/>
  <c r="F119" i="6"/>
  <c r="K118" i="6"/>
  <c r="F118" i="6"/>
  <c r="K117" i="6"/>
  <c r="F117" i="6"/>
  <c r="K116" i="6"/>
  <c r="H116" i="6"/>
  <c r="G116" i="6"/>
  <c r="K115" i="6"/>
  <c r="H115" i="6"/>
  <c r="G115" i="6"/>
  <c r="K114" i="6"/>
  <c r="H114" i="6"/>
  <c r="G114" i="6"/>
  <c r="G113" i="6"/>
  <c r="E113" i="6"/>
  <c r="J113" i="6"/>
  <c r="D113" i="6"/>
  <c r="B113" i="6"/>
  <c r="A112" i="6"/>
  <c r="Z106" i="6"/>
  <c r="Y106" i="6"/>
  <c r="X106" i="6"/>
  <c r="K105" i="6"/>
  <c r="Z105" i="6"/>
  <c r="Y105" i="6"/>
  <c r="X105" i="6"/>
  <c r="G105" i="6"/>
  <c r="E105" i="6"/>
  <c r="D105" i="6"/>
  <c r="B105" i="6"/>
  <c r="H104" i="6"/>
  <c r="F104" i="6"/>
  <c r="K103" i="6"/>
  <c r="G103" i="6"/>
  <c r="F103" i="6"/>
  <c r="K102" i="6"/>
  <c r="F102" i="6"/>
  <c r="K101" i="6"/>
  <c r="H101" i="6"/>
  <c r="G101" i="6"/>
  <c r="K100" i="6"/>
  <c r="H100" i="6"/>
  <c r="G100" i="6"/>
  <c r="K99" i="6"/>
  <c r="H99" i="6"/>
  <c r="G99" i="6"/>
  <c r="K98" i="6"/>
  <c r="H98" i="6"/>
  <c r="G98" i="6"/>
  <c r="G97" i="6"/>
  <c r="E97" i="6"/>
  <c r="J97" i="6"/>
  <c r="D97" i="6"/>
  <c r="B97" i="6"/>
  <c r="Z96" i="6"/>
  <c r="Y96" i="6"/>
  <c r="X96" i="6"/>
  <c r="H95" i="6"/>
  <c r="F95" i="6"/>
  <c r="K94" i="6"/>
  <c r="G94" i="6"/>
  <c r="F94" i="6"/>
  <c r="K93" i="6"/>
  <c r="F93" i="6"/>
  <c r="K92" i="6"/>
  <c r="H92" i="6"/>
  <c r="G92" i="6"/>
  <c r="K91" i="6"/>
  <c r="H91" i="6"/>
  <c r="G91" i="6"/>
  <c r="G90" i="6"/>
  <c r="E90" i="6"/>
  <c r="J90" i="6"/>
  <c r="D90" i="6"/>
  <c r="B90" i="6"/>
  <c r="Z89" i="6"/>
  <c r="Y89" i="6"/>
  <c r="X89" i="6"/>
  <c r="H88" i="6"/>
  <c r="F88" i="6"/>
  <c r="K87" i="6"/>
  <c r="G87" i="6"/>
  <c r="F87" i="6"/>
  <c r="K86" i="6"/>
  <c r="F86" i="6"/>
  <c r="K85" i="6"/>
  <c r="H85" i="6"/>
  <c r="G85" i="6"/>
  <c r="K84" i="6"/>
  <c r="H84" i="6"/>
  <c r="G84" i="6"/>
  <c r="G83" i="6"/>
  <c r="F83" i="6"/>
  <c r="E83" i="6"/>
  <c r="J83" i="6"/>
  <c r="D83" i="6"/>
  <c r="B83" i="6"/>
  <c r="Z82" i="6"/>
  <c r="Y82" i="6"/>
  <c r="W82" i="6"/>
  <c r="K81" i="6"/>
  <c r="Z81" i="6"/>
  <c r="Y81" i="6"/>
  <c r="X81" i="6"/>
  <c r="G81" i="6"/>
  <c r="E81" i="6"/>
  <c r="D81" i="6"/>
  <c r="B81" i="6"/>
  <c r="K80" i="6"/>
  <c r="Z80" i="6"/>
  <c r="Y80" i="6"/>
  <c r="W80" i="6"/>
  <c r="G80" i="6"/>
  <c r="E80" i="6"/>
  <c r="D80" i="6"/>
  <c r="B80" i="6"/>
  <c r="H79" i="6"/>
  <c r="F79" i="6"/>
  <c r="K78" i="6"/>
  <c r="F78" i="6"/>
  <c r="K77" i="6"/>
  <c r="F77" i="6"/>
  <c r="K76" i="6"/>
  <c r="H76" i="6"/>
  <c r="G76" i="6"/>
  <c r="K75" i="6"/>
  <c r="H75" i="6"/>
  <c r="G75" i="6"/>
  <c r="K74" i="6"/>
  <c r="H74" i="6"/>
  <c r="G74" i="6"/>
  <c r="K73" i="6"/>
  <c r="H73" i="6"/>
  <c r="G73" i="6"/>
  <c r="G72" i="6"/>
  <c r="F72" i="6"/>
  <c r="E72" i="6"/>
  <c r="J72" i="6"/>
  <c r="D72" i="6"/>
  <c r="B72" i="6"/>
  <c r="Z71" i="6"/>
  <c r="Y71" i="6"/>
  <c r="W71" i="6"/>
  <c r="K70" i="6"/>
  <c r="Z70" i="6"/>
  <c r="Y70" i="6"/>
  <c r="W70" i="6"/>
  <c r="G70" i="6"/>
  <c r="E70" i="6"/>
  <c r="D70" i="6"/>
  <c r="B70" i="6"/>
  <c r="K69" i="6"/>
  <c r="Z69" i="6"/>
  <c r="Y69" i="6"/>
  <c r="W69" i="6"/>
  <c r="G69" i="6"/>
  <c r="E69" i="6"/>
  <c r="D69" i="6"/>
  <c r="B69" i="6"/>
  <c r="H68" i="6"/>
  <c r="F68" i="6"/>
  <c r="K67" i="6"/>
  <c r="F67" i="6"/>
  <c r="K66" i="6"/>
  <c r="F66" i="6"/>
  <c r="K65" i="6"/>
  <c r="H65" i="6"/>
  <c r="G65" i="6"/>
  <c r="K64" i="6"/>
  <c r="H64" i="6"/>
  <c r="G64" i="6"/>
  <c r="G63" i="6"/>
  <c r="F63" i="6"/>
  <c r="E63" i="6"/>
  <c r="J63" i="6"/>
  <c r="D63" i="6"/>
  <c r="B63" i="6"/>
  <c r="Z62" i="6"/>
  <c r="Y62" i="6"/>
  <c r="X62" i="6"/>
  <c r="H61" i="6"/>
  <c r="F61" i="6"/>
  <c r="K60" i="6"/>
  <c r="G60" i="6"/>
  <c r="F60" i="6"/>
  <c r="K59" i="6"/>
  <c r="F59" i="6"/>
  <c r="K58" i="6"/>
  <c r="H58" i="6"/>
  <c r="G58" i="6"/>
  <c r="K57" i="6"/>
  <c r="H57" i="6"/>
  <c r="G57" i="6"/>
  <c r="G56" i="6"/>
  <c r="E56" i="6"/>
  <c r="J56" i="6"/>
  <c r="D56" i="6"/>
  <c r="B56" i="6"/>
  <c r="Z55" i="6"/>
  <c r="Y55" i="6"/>
  <c r="X55" i="6"/>
  <c r="K54" i="6"/>
  <c r="H54" i="6"/>
  <c r="G54" i="6"/>
  <c r="G53" i="6"/>
  <c r="E53" i="6"/>
  <c r="J53" i="6"/>
  <c r="D53" i="6"/>
  <c r="B53" i="6"/>
  <c r="Z52" i="6"/>
  <c r="Y52" i="6"/>
  <c r="X52" i="6"/>
  <c r="K51" i="6"/>
  <c r="H51" i="6"/>
  <c r="G51" i="6"/>
  <c r="K50" i="6"/>
  <c r="H50" i="6"/>
  <c r="G50" i="6"/>
  <c r="G49" i="6"/>
  <c r="E49" i="6"/>
  <c r="J49" i="6"/>
  <c r="D49" i="6"/>
  <c r="B49" i="6"/>
  <c r="Z48" i="6"/>
  <c r="Y48" i="6"/>
  <c r="X48" i="6"/>
  <c r="H47" i="6"/>
  <c r="F47" i="6"/>
  <c r="K46" i="6"/>
  <c r="G46" i="6"/>
  <c r="F46" i="6"/>
  <c r="K45" i="6"/>
  <c r="F45" i="6"/>
  <c r="K44" i="6"/>
  <c r="H44" i="6"/>
  <c r="G44" i="6"/>
  <c r="G43" i="6"/>
  <c r="E43" i="6"/>
  <c r="J43" i="6"/>
  <c r="D43" i="6"/>
  <c r="B43" i="6"/>
  <c r="Z42" i="6"/>
  <c r="Y42" i="6"/>
  <c r="X42" i="6"/>
  <c r="H41" i="6"/>
  <c r="F41" i="6"/>
  <c r="K40" i="6"/>
  <c r="G40" i="6"/>
  <c r="F40" i="6"/>
  <c r="K39" i="6"/>
  <c r="F39" i="6"/>
  <c r="K38" i="6"/>
  <c r="H38" i="6"/>
  <c r="G38" i="6"/>
  <c r="G37" i="6"/>
  <c r="E37" i="6"/>
  <c r="J37" i="6"/>
  <c r="D37" i="6"/>
  <c r="B37" i="6"/>
  <c r="A36" i="6"/>
  <c r="K22" i="6"/>
  <c r="K21" i="6"/>
  <c r="K20" i="6"/>
  <c r="K19" i="6"/>
  <c r="K16" i="6"/>
  <c r="C17" i="6"/>
  <c r="K14" i="6"/>
  <c r="K12" i="6"/>
  <c r="C13" i="6"/>
  <c r="K10" i="6"/>
  <c r="K8" i="6"/>
  <c r="C9" i="6"/>
  <c r="A1" i="6"/>
  <c r="AD19" i="5"/>
  <c r="AD17" i="5"/>
  <c r="C259" i="5"/>
  <c r="C258" i="5"/>
  <c r="C257" i="5"/>
  <c r="C256" i="5"/>
  <c r="C255" i="5"/>
  <c r="C254" i="5"/>
  <c r="C253" i="5"/>
  <c r="C245" i="5"/>
  <c r="C244" i="5"/>
  <c r="Z239" i="5"/>
  <c r="Y239" i="5"/>
  <c r="X239" i="5"/>
  <c r="J238" i="5"/>
  <c r="G238" i="5"/>
  <c r="F238" i="5"/>
  <c r="E238" i="5"/>
  <c r="D238" i="5"/>
  <c r="I238" i="5"/>
  <c r="C238" i="5"/>
  <c r="A238" i="5"/>
  <c r="Z237" i="5"/>
  <c r="Y237" i="5"/>
  <c r="X237" i="5"/>
  <c r="J236" i="5"/>
  <c r="G236" i="5"/>
  <c r="F236" i="5"/>
  <c r="E236" i="5"/>
  <c r="D236" i="5"/>
  <c r="I236" i="5"/>
  <c r="C236" i="5"/>
  <c r="A236" i="5"/>
  <c r="A235" i="5"/>
  <c r="Z229" i="5"/>
  <c r="Y229" i="5"/>
  <c r="X229" i="5"/>
  <c r="J228" i="5"/>
  <c r="G228" i="5"/>
  <c r="F228" i="5"/>
  <c r="E228" i="5"/>
  <c r="D228" i="5"/>
  <c r="I228" i="5"/>
  <c r="C228" i="5"/>
  <c r="A228" i="5"/>
  <c r="A227" i="5"/>
  <c r="Y221" i="5"/>
  <c r="X221" i="5"/>
  <c r="W221" i="5"/>
  <c r="G220" i="5"/>
  <c r="E220" i="5"/>
  <c r="J219" i="5"/>
  <c r="E219" i="5"/>
  <c r="J218" i="5"/>
  <c r="E218" i="5"/>
  <c r="J217" i="5"/>
  <c r="G217" i="5"/>
  <c r="F217" i="5"/>
  <c r="F216" i="5"/>
  <c r="E216" i="5"/>
  <c r="D216" i="5"/>
  <c r="I216" i="5"/>
  <c r="C216" i="5"/>
  <c r="A216" i="5"/>
  <c r="Y215" i="5"/>
  <c r="X215" i="5"/>
  <c r="W215" i="5"/>
  <c r="G214" i="5"/>
  <c r="E214" i="5"/>
  <c r="J213" i="5"/>
  <c r="E213" i="5"/>
  <c r="J212" i="5"/>
  <c r="E212" i="5"/>
  <c r="J211" i="5"/>
  <c r="G211" i="5"/>
  <c r="F211" i="5"/>
  <c r="F210" i="5"/>
  <c r="E210" i="5"/>
  <c r="D210" i="5"/>
  <c r="I210" i="5"/>
  <c r="C210" i="5"/>
  <c r="A210" i="5"/>
  <c r="A209" i="5"/>
  <c r="Z203" i="5"/>
  <c r="Y203" i="5"/>
  <c r="W203" i="5"/>
  <c r="G202" i="5"/>
  <c r="E202" i="5"/>
  <c r="J201" i="5"/>
  <c r="E201" i="5"/>
  <c r="J200" i="5"/>
  <c r="E200" i="5"/>
  <c r="J199" i="5"/>
  <c r="G199" i="5"/>
  <c r="F199" i="5"/>
  <c r="J198" i="5"/>
  <c r="G198" i="5"/>
  <c r="F198" i="5"/>
  <c r="J197" i="5"/>
  <c r="G197" i="5"/>
  <c r="F197" i="5"/>
  <c r="F196" i="5"/>
  <c r="D196" i="5"/>
  <c r="I196" i="5"/>
  <c r="C196" i="5"/>
  <c r="A196" i="5"/>
  <c r="Z195" i="5"/>
  <c r="Y195" i="5"/>
  <c r="W195" i="5"/>
  <c r="J194" i="5"/>
  <c r="Z194" i="5"/>
  <c r="Y194" i="5"/>
  <c r="W194" i="5"/>
  <c r="F194" i="5"/>
  <c r="D194" i="5"/>
  <c r="C194" i="5"/>
  <c r="A194" i="5"/>
  <c r="G193" i="5"/>
  <c r="E193" i="5"/>
  <c r="J192" i="5"/>
  <c r="E192" i="5"/>
  <c r="J191" i="5"/>
  <c r="E191" i="5"/>
  <c r="J190" i="5"/>
  <c r="G190" i="5"/>
  <c r="F190" i="5"/>
  <c r="J189" i="5"/>
  <c r="G189" i="5"/>
  <c r="F189" i="5"/>
  <c r="J188" i="5"/>
  <c r="G188" i="5"/>
  <c r="F188" i="5"/>
  <c r="J187" i="5"/>
  <c r="G187" i="5"/>
  <c r="F187" i="5"/>
  <c r="F186" i="5"/>
  <c r="E186" i="5"/>
  <c r="D186" i="5"/>
  <c r="I186" i="5"/>
  <c r="C186" i="5"/>
  <c r="A186" i="5"/>
  <c r="Z185" i="5"/>
  <c r="Y185" i="5"/>
  <c r="W185" i="5"/>
  <c r="J184" i="5"/>
  <c r="Z184" i="5"/>
  <c r="Y184" i="5"/>
  <c r="W184" i="5"/>
  <c r="F184" i="5"/>
  <c r="D184" i="5"/>
  <c r="C184" i="5"/>
  <c r="A184" i="5"/>
  <c r="G183" i="5"/>
  <c r="E183" i="5"/>
  <c r="J182" i="5"/>
  <c r="E182" i="5"/>
  <c r="J181" i="5"/>
  <c r="E181" i="5"/>
  <c r="J180" i="5"/>
  <c r="G180" i="5"/>
  <c r="F180" i="5"/>
  <c r="J179" i="5"/>
  <c r="G179" i="5"/>
  <c r="F179" i="5"/>
  <c r="J178" i="5"/>
  <c r="G178" i="5"/>
  <c r="F178" i="5"/>
  <c r="J177" i="5"/>
  <c r="G177" i="5"/>
  <c r="F177" i="5"/>
  <c r="F176" i="5"/>
  <c r="E176" i="5"/>
  <c r="D176" i="5"/>
  <c r="I176" i="5"/>
  <c r="C176" i="5"/>
  <c r="A176" i="5"/>
  <c r="Z175" i="5"/>
  <c r="Y175" i="5"/>
  <c r="W175" i="5"/>
  <c r="G174" i="5"/>
  <c r="E174" i="5"/>
  <c r="J173" i="5"/>
  <c r="E173" i="5"/>
  <c r="J172" i="5"/>
  <c r="E172" i="5"/>
  <c r="J171" i="5"/>
  <c r="G171" i="5"/>
  <c r="F171" i="5"/>
  <c r="J170" i="5"/>
  <c r="G170" i="5"/>
  <c r="F170" i="5"/>
  <c r="F169" i="5"/>
  <c r="E169" i="5"/>
  <c r="D169" i="5"/>
  <c r="I169" i="5"/>
  <c r="C169" i="5"/>
  <c r="A169" i="5"/>
  <c r="Z168" i="5"/>
  <c r="Y168" i="5"/>
  <c r="W168" i="5"/>
  <c r="G167" i="5"/>
  <c r="E167" i="5"/>
  <c r="J166" i="5"/>
  <c r="E166" i="5"/>
  <c r="J165" i="5"/>
  <c r="E165" i="5"/>
  <c r="J164" i="5"/>
  <c r="G164" i="5"/>
  <c r="F164" i="5"/>
  <c r="J163" i="5"/>
  <c r="G163" i="5"/>
  <c r="F163" i="5"/>
  <c r="J162" i="5"/>
  <c r="G162" i="5"/>
  <c r="F162" i="5"/>
  <c r="J161" i="5"/>
  <c r="G161" i="5"/>
  <c r="F161" i="5"/>
  <c r="F160" i="5"/>
  <c r="E160" i="5"/>
  <c r="D160" i="5"/>
  <c r="I160" i="5"/>
  <c r="C160" i="5"/>
  <c r="A160" i="5"/>
  <c r="Z159" i="5"/>
  <c r="Y159" i="5"/>
  <c r="W159" i="5"/>
  <c r="J158" i="5"/>
  <c r="Z158" i="5"/>
  <c r="Y158" i="5"/>
  <c r="X158" i="5"/>
  <c r="F158" i="5"/>
  <c r="D158" i="5"/>
  <c r="C158" i="5"/>
  <c r="A158" i="5"/>
  <c r="G157" i="5"/>
  <c r="E157" i="5"/>
  <c r="J156" i="5"/>
  <c r="E156" i="5"/>
  <c r="J155" i="5"/>
  <c r="E155" i="5"/>
  <c r="J154" i="5"/>
  <c r="G154" i="5"/>
  <c r="F154" i="5"/>
  <c r="J153" i="5"/>
  <c r="G153" i="5"/>
  <c r="F153" i="5"/>
  <c r="J152" i="5"/>
  <c r="G152" i="5"/>
  <c r="F152" i="5"/>
  <c r="F151" i="5"/>
  <c r="E151" i="5"/>
  <c r="D151" i="5"/>
  <c r="I151" i="5"/>
  <c r="C151" i="5"/>
  <c r="A151" i="5"/>
  <c r="Z150" i="5"/>
  <c r="Y150" i="5"/>
  <c r="W150" i="5"/>
  <c r="G149" i="5"/>
  <c r="E149" i="5"/>
  <c r="J148" i="5"/>
  <c r="E148" i="5"/>
  <c r="J147" i="5"/>
  <c r="E147" i="5"/>
  <c r="J146" i="5"/>
  <c r="G146" i="5"/>
  <c r="F146" i="5"/>
  <c r="J145" i="5"/>
  <c r="G145" i="5"/>
  <c r="F145" i="5"/>
  <c r="J144" i="5"/>
  <c r="G144" i="5"/>
  <c r="F144" i="5"/>
  <c r="J143" i="5"/>
  <c r="G143" i="5"/>
  <c r="F143" i="5"/>
  <c r="F142" i="5"/>
  <c r="E142" i="5"/>
  <c r="D142" i="5"/>
  <c r="I142" i="5"/>
  <c r="C142" i="5"/>
  <c r="A142" i="5"/>
  <c r="Z141" i="5"/>
  <c r="Y141" i="5"/>
  <c r="W141" i="5"/>
  <c r="G140" i="5"/>
  <c r="E140" i="5"/>
  <c r="J139" i="5"/>
  <c r="E139" i="5"/>
  <c r="J138" i="5"/>
  <c r="E138" i="5"/>
  <c r="J137" i="5"/>
  <c r="G137" i="5"/>
  <c r="F137" i="5"/>
  <c r="J136" i="5"/>
  <c r="G136" i="5"/>
  <c r="F136" i="5"/>
  <c r="J135" i="5"/>
  <c r="G135" i="5"/>
  <c r="F135" i="5"/>
  <c r="J134" i="5"/>
  <c r="G134" i="5"/>
  <c r="F134" i="5"/>
  <c r="F133" i="5"/>
  <c r="E133" i="5"/>
  <c r="D133" i="5"/>
  <c r="I133" i="5"/>
  <c r="C133" i="5"/>
  <c r="A133" i="5"/>
  <c r="Z132" i="5"/>
  <c r="Y132" i="5"/>
  <c r="W132" i="5"/>
  <c r="G131" i="5"/>
  <c r="E131" i="5"/>
  <c r="J130" i="5"/>
  <c r="E130" i="5"/>
  <c r="J129" i="5"/>
  <c r="E129" i="5"/>
  <c r="J128" i="5"/>
  <c r="G128" i="5"/>
  <c r="F128" i="5"/>
  <c r="J127" i="5"/>
  <c r="G127" i="5"/>
  <c r="F127" i="5"/>
  <c r="J126" i="5"/>
  <c r="G126" i="5"/>
  <c r="F126" i="5"/>
  <c r="J125" i="5"/>
  <c r="G125" i="5"/>
  <c r="F125" i="5"/>
  <c r="F124" i="5"/>
  <c r="D124" i="5"/>
  <c r="I124" i="5"/>
  <c r="C124" i="5"/>
  <c r="A124" i="5"/>
  <c r="Z123" i="5"/>
  <c r="Y123" i="5"/>
  <c r="W123" i="5"/>
  <c r="J122" i="5"/>
  <c r="Z122" i="5"/>
  <c r="Y122" i="5"/>
  <c r="W122" i="5"/>
  <c r="F122" i="5"/>
  <c r="D122" i="5"/>
  <c r="C122" i="5"/>
  <c r="A122" i="5"/>
  <c r="G121" i="5"/>
  <c r="E121" i="5"/>
  <c r="J120" i="5"/>
  <c r="E120" i="5"/>
  <c r="J119" i="5"/>
  <c r="E119" i="5"/>
  <c r="J118" i="5"/>
  <c r="G118" i="5"/>
  <c r="F118" i="5"/>
  <c r="J117" i="5"/>
  <c r="G117" i="5"/>
  <c r="F117" i="5"/>
  <c r="J116" i="5"/>
  <c r="G116" i="5"/>
  <c r="F116" i="5"/>
  <c r="F115" i="5"/>
  <c r="D115" i="5"/>
  <c r="I115" i="5"/>
  <c r="C115" i="5"/>
  <c r="A115" i="5"/>
  <c r="A114" i="5"/>
  <c r="Z108" i="5"/>
  <c r="Y108" i="5"/>
  <c r="X108" i="5"/>
  <c r="J107" i="5"/>
  <c r="Z107" i="5"/>
  <c r="Y107" i="5"/>
  <c r="X107" i="5"/>
  <c r="F107" i="5"/>
  <c r="D107" i="5"/>
  <c r="C107" i="5"/>
  <c r="A107" i="5"/>
  <c r="G106" i="5"/>
  <c r="E106" i="5"/>
  <c r="J105" i="5"/>
  <c r="F105" i="5"/>
  <c r="E105" i="5"/>
  <c r="J104" i="5"/>
  <c r="E104" i="5"/>
  <c r="J103" i="5"/>
  <c r="G103" i="5"/>
  <c r="F103" i="5"/>
  <c r="J102" i="5"/>
  <c r="G102" i="5"/>
  <c r="F102" i="5"/>
  <c r="J101" i="5"/>
  <c r="G101" i="5"/>
  <c r="F101" i="5"/>
  <c r="J100" i="5"/>
  <c r="G100" i="5"/>
  <c r="F100" i="5"/>
  <c r="F99" i="5"/>
  <c r="D99" i="5"/>
  <c r="I99" i="5"/>
  <c r="C99" i="5"/>
  <c r="A99" i="5"/>
  <c r="Z98" i="5"/>
  <c r="Y98" i="5"/>
  <c r="X98" i="5"/>
  <c r="G97" i="5"/>
  <c r="E97" i="5"/>
  <c r="J96" i="5"/>
  <c r="F96" i="5"/>
  <c r="E96" i="5"/>
  <c r="J95" i="5"/>
  <c r="E95" i="5"/>
  <c r="J94" i="5"/>
  <c r="G94" i="5"/>
  <c r="F94" i="5"/>
  <c r="J93" i="5"/>
  <c r="G93" i="5"/>
  <c r="F93" i="5"/>
  <c r="F92" i="5"/>
  <c r="D92" i="5"/>
  <c r="I92" i="5"/>
  <c r="C92" i="5"/>
  <c r="A92" i="5"/>
  <c r="Z91" i="5"/>
  <c r="Y91" i="5"/>
  <c r="X91" i="5"/>
  <c r="G90" i="5"/>
  <c r="E90" i="5"/>
  <c r="J89" i="5"/>
  <c r="F89" i="5"/>
  <c r="E89" i="5"/>
  <c r="J88" i="5"/>
  <c r="E88" i="5"/>
  <c r="J87" i="5"/>
  <c r="G87" i="5"/>
  <c r="F87" i="5"/>
  <c r="J86" i="5"/>
  <c r="G86" i="5"/>
  <c r="F86" i="5"/>
  <c r="F85" i="5"/>
  <c r="E85" i="5"/>
  <c r="D85" i="5"/>
  <c r="I85" i="5"/>
  <c r="C85" i="5"/>
  <c r="A85" i="5"/>
  <c r="Z84" i="5"/>
  <c r="Y84" i="5"/>
  <c r="W84" i="5"/>
  <c r="J83" i="5"/>
  <c r="Z83" i="5"/>
  <c r="Y83" i="5"/>
  <c r="X83" i="5"/>
  <c r="F83" i="5"/>
  <c r="D83" i="5"/>
  <c r="C83" i="5"/>
  <c r="A83" i="5"/>
  <c r="J82" i="5"/>
  <c r="Z82" i="5"/>
  <c r="Y82" i="5"/>
  <c r="W82" i="5"/>
  <c r="F82" i="5"/>
  <c r="D82" i="5"/>
  <c r="C82" i="5"/>
  <c r="A82" i="5"/>
  <c r="G81" i="5"/>
  <c r="E81" i="5"/>
  <c r="J80" i="5"/>
  <c r="E80" i="5"/>
  <c r="J79" i="5"/>
  <c r="E79" i="5"/>
  <c r="J78" i="5"/>
  <c r="G78" i="5"/>
  <c r="F78" i="5"/>
  <c r="J77" i="5"/>
  <c r="G77" i="5"/>
  <c r="F77" i="5"/>
  <c r="J76" i="5"/>
  <c r="G76" i="5"/>
  <c r="F76" i="5"/>
  <c r="J75" i="5"/>
  <c r="G75" i="5"/>
  <c r="F75" i="5"/>
  <c r="F74" i="5"/>
  <c r="E74" i="5"/>
  <c r="D74" i="5"/>
  <c r="I74" i="5"/>
  <c r="C74" i="5"/>
  <c r="A74" i="5"/>
  <c r="Z73" i="5"/>
  <c r="Y73" i="5"/>
  <c r="W73" i="5"/>
  <c r="J72" i="5"/>
  <c r="Z72" i="5"/>
  <c r="Y72" i="5"/>
  <c r="W72" i="5"/>
  <c r="F72" i="5"/>
  <c r="D72" i="5"/>
  <c r="C72" i="5"/>
  <c r="A72" i="5"/>
  <c r="J71" i="5"/>
  <c r="Z71" i="5"/>
  <c r="Y71" i="5"/>
  <c r="W71" i="5"/>
  <c r="F71" i="5"/>
  <c r="D71" i="5"/>
  <c r="C71" i="5"/>
  <c r="A71" i="5"/>
  <c r="G70" i="5"/>
  <c r="E70" i="5"/>
  <c r="J69" i="5"/>
  <c r="E69" i="5"/>
  <c r="J68" i="5"/>
  <c r="E68" i="5"/>
  <c r="J67" i="5"/>
  <c r="G67" i="5"/>
  <c r="F67" i="5"/>
  <c r="J66" i="5"/>
  <c r="G66" i="5"/>
  <c r="F66" i="5"/>
  <c r="F65" i="5"/>
  <c r="E65" i="5"/>
  <c r="D65" i="5"/>
  <c r="I65" i="5"/>
  <c r="C65" i="5"/>
  <c r="A65" i="5"/>
  <c r="Z64" i="5"/>
  <c r="Y64" i="5"/>
  <c r="X64" i="5"/>
  <c r="G63" i="5"/>
  <c r="E63" i="5"/>
  <c r="J62" i="5"/>
  <c r="F62" i="5"/>
  <c r="E62" i="5"/>
  <c r="J61" i="5"/>
  <c r="E61" i="5"/>
  <c r="J60" i="5"/>
  <c r="G60" i="5"/>
  <c r="F60" i="5"/>
  <c r="J59" i="5"/>
  <c r="G59" i="5"/>
  <c r="F59" i="5"/>
  <c r="F58" i="5"/>
  <c r="D58" i="5"/>
  <c r="I58" i="5"/>
  <c r="C58" i="5"/>
  <c r="A58" i="5"/>
  <c r="Z57" i="5"/>
  <c r="Y57" i="5"/>
  <c r="X57" i="5"/>
  <c r="J56" i="5"/>
  <c r="G56" i="5"/>
  <c r="F56" i="5"/>
  <c r="F55" i="5"/>
  <c r="D55" i="5"/>
  <c r="I55" i="5"/>
  <c r="C55" i="5"/>
  <c r="A55" i="5"/>
  <c r="Z54" i="5"/>
  <c r="Y54" i="5"/>
  <c r="X54" i="5"/>
  <c r="J53" i="5"/>
  <c r="G53" i="5"/>
  <c r="F53" i="5"/>
  <c r="J52" i="5"/>
  <c r="G52" i="5"/>
  <c r="F52" i="5"/>
  <c r="F51" i="5"/>
  <c r="D51" i="5"/>
  <c r="I51" i="5"/>
  <c r="C51" i="5"/>
  <c r="A51" i="5"/>
  <c r="Z50" i="5"/>
  <c r="Y50" i="5"/>
  <c r="X50" i="5"/>
  <c r="G49" i="5"/>
  <c r="E49" i="5"/>
  <c r="J48" i="5"/>
  <c r="F48" i="5"/>
  <c r="E48" i="5"/>
  <c r="J47" i="5"/>
  <c r="E47" i="5"/>
  <c r="J46" i="5"/>
  <c r="G46" i="5"/>
  <c r="F46" i="5"/>
  <c r="F45" i="5"/>
  <c r="D45" i="5"/>
  <c r="I45" i="5"/>
  <c r="C45" i="5"/>
  <c r="A45" i="5"/>
  <c r="Z44" i="5"/>
  <c r="Y44" i="5"/>
  <c r="G29" i="5" s="1"/>
  <c r="X44" i="5"/>
  <c r="G43" i="5"/>
  <c r="E43" i="5"/>
  <c r="J42" i="5"/>
  <c r="F42" i="5"/>
  <c r="E42" i="5"/>
  <c r="J41" i="5"/>
  <c r="E41" i="5"/>
  <c r="J40" i="5"/>
  <c r="G40" i="5"/>
  <c r="F40" i="5"/>
  <c r="F39" i="5"/>
  <c r="D39" i="5"/>
  <c r="I39" i="5"/>
  <c r="C39" i="5"/>
  <c r="A39" i="5"/>
  <c r="A38" i="5"/>
  <c r="A22" i="5"/>
  <c r="B19" i="5"/>
  <c r="B17" i="5"/>
  <c r="B15" i="5"/>
  <c r="H13" i="5"/>
  <c r="B6" i="5"/>
  <c r="A1" i="5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A4" i="3"/>
  <c r="DB4" i="3"/>
  <c r="DC4" i="3"/>
  <c r="A5" i="3"/>
  <c r="CY5" i="3"/>
  <c r="CZ5" i="3"/>
  <c r="DB5" i="3" s="1"/>
  <c r="DA5" i="3"/>
  <c r="DC5" i="3"/>
  <c r="A6" i="3"/>
  <c r="CY6" i="3"/>
  <c r="CZ6" i="3"/>
  <c r="DB6" i="3" s="1"/>
  <c r="DA6" i="3"/>
  <c r="DC6" i="3"/>
  <c r="A7" i="3"/>
  <c r="CY7" i="3"/>
  <c r="CZ7" i="3"/>
  <c r="DB7" i="3" s="1"/>
  <c r="L11" i="10" s="1"/>
  <c r="DA7" i="3"/>
  <c r="DC7" i="3"/>
  <c r="Q11" i="10" s="1"/>
  <c r="A8" i="3"/>
  <c r="CY8" i="3"/>
  <c r="CZ8" i="3"/>
  <c r="DB8" i="3" s="1"/>
  <c r="L10" i="10" s="1"/>
  <c r="DA8" i="3"/>
  <c r="DC8" i="3"/>
  <c r="Q10" i="10" s="1"/>
  <c r="A9" i="3"/>
  <c r="CY9" i="3"/>
  <c r="CZ9" i="3"/>
  <c r="DB9" i="3" s="1"/>
  <c r="L9" i="10" s="1"/>
  <c r="DA9" i="3"/>
  <c r="DC9" i="3"/>
  <c r="Q9" i="10" s="1"/>
  <c r="A10" i="3"/>
  <c r="CY10" i="3"/>
  <c r="CZ10" i="3"/>
  <c r="DB10" i="3" s="1"/>
  <c r="L8" i="10" s="1"/>
  <c r="DA10" i="3"/>
  <c r="DC10" i="3"/>
  <c r="Q8" i="10" s="1"/>
  <c r="A11" i="3"/>
  <c r="CX11" i="3"/>
  <c r="CY11" i="3"/>
  <c r="CZ11" i="3"/>
  <c r="DB11" i="3" s="1"/>
  <c r="DA11" i="3"/>
  <c r="DC11" i="3"/>
  <c r="A12" i="3"/>
  <c r="CX12" i="3"/>
  <c r="CY12" i="3"/>
  <c r="CZ12" i="3"/>
  <c r="DA12" i="3"/>
  <c r="DB12" i="3"/>
  <c r="DC12" i="3"/>
  <c r="A13" i="3"/>
  <c r="CX13" i="3"/>
  <c r="CY13" i="3"/>
  <c r="CZ13" i="3"/>
  <c r="DB13" i="3" s="1"/>
  <c r="DA13" i="3"/>
  <c r="DC13" i="3"/>
  <c r="A14" i="3"/>
  <c r="CX14" i="3"/>
  <c r="CY14" i="3"/>
  <c r="CZ14" i="3"/>
  <c r="DB14" i="3" s="1"/>
  <c r="L12" i="10" s="1"/>
  <c r="DA14" i="3"/>
  <c r="DC14" i="3"/>
  <c r="Q12" i="10" s="1"/>
  <c r="A15" i="3"/>
  <c r="CX15" i="3"/>
  <c r="CY15" i="3"/>
  <c r="CZ15" i="3"/>
  <c r="DB15" i="3" s="1"/>
  <c r="DA15" i="3"/>
  <c r="DC15" i="3"/>
  <c r="A16" i="3"/>
  <c r="CX16" i="3"/>
  <c r="CY16" i="3"/>
  <c r="CZ16" i="3"/>
  <c r="DB16" i="3" s="1"/>
  <c r="DA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B20" i="3" s="1"/>
  <c r="L20" i="10" s="1"/>
  <c r="DA20" i="3"/>
  <c r="DC20" i="3"/>
  <c r="Q20" i="10" s="1"/>
  <c r="A21" i="3"/>
  <c r="CX21" i="3"/>
  <c r="CY21" i="3"/>
  <c r="CZ21" i="3"/>
  <c r="DB21" i="3" s="1"/>
  <c r="L19" i="10" s="1"/>
  <c r="DA21" i="3"/>
  <c r="DC21" i="3"/>
  <c r="Q19" i="10" s="1"/>
  <c r="A22" i="3"/>
  <c r="CX22" i="3"/>
  <c r="CY22" i="3"/>
  <c r="CZ22" i="3"/>
  <c r="DB22" i="3" s="1"/>
  <c r="L18" i="10" s="1"/>
  <c r="DA22" i="3"/>
  <c r="DC22" i="3"/>
  <c r="Q18" i="10" s="1"/>
  <c r="A23" i="3"/>
  <c r="CX23" i="3"/>
  <c r="CY23" i="3"/>
  <c r="CZ23" i="3"/>
  <c r="DB23" i="3" s="1"/>
  <c r="DA23" i="3"/>
  <c r="DC23" i="3"/>
  <c r="A24" i="3"/>
  <c r="CX24" i="3"/>
  <c r="CY24" i="3"/>
  <c r="CZ24" i="3"/>
  <c r="DA24" i="3"/>
  <c r="DB24" i="3"/>
  <c r="L17" i="10" s="1"/>
  <c r="DC24" i="3"/>
  <c r="Q17" i="10" s="1"/>
  <c r="A25" i="3"/>
  <c r="CX25" i="3"/>
  <c r="CY25" i="3"/>
  <c r="CZ25" i="3"/>
  <c r="DA25" i="3"/>
  <c r="DB25" i="3"/>
  <c r="L16" i="10" s="1"/>
  <c r="DC25" i="3"/>
  <c r="Q16" i="10" s="1"/>
  <c r="A26" i="3"/>
  <c r="CX26" i="3"/>
  <c r="CY26" i="3"/>
  <c r="CZ26" i="3"/>
  <c r="DB26" i="3" s="1"/>
  <c r="L15" i="10" s="1"/>
  <c r="DA26" i="3"/>
  <c r="DC26" i="3"/>
  <c r="Q15" i="10" s="1"/>
  <c r="A27" i="3"/>
  <c r="CX27" i="3"/>
  <c r="CY27" i="3"/>
  <c r="CZ27" i="3"/>
  <c r="DB27" i="3" s="1"/>
  <c r="DA27" i="3"/>
  <c r="DC27" i="3"/>
  <c r="A28" i="3"/>
  <c r="CX28" i="3"/>
  <c r="CY28" i="3"/>
  <c r="CZ28" i="3"/>
  <c r="DB28" i="3" s="1"/>
  <c r="L14" i="10" s="1"/>
  <c r="DA28" i="3"/>
  <c r="DC28" i="3"/>
  <c r="Q14" i="10" s="1"/>
  <c r="A29" i="3"/>
  <c r="CX29" i="3"/>
  <c r="CY29" i="3"/>
  <c r="CZ29" i="3"/>
  <c r="DB29" i="3" s="1"/>
  <c r="DA29" i="3"/>
  <c r="DC29" i="3"/>
  <c r="A30" i="3"/>
  <c r="CX30" i="3"/>
  <c r="CY30" i="3"/>
  <c r="CZ30" i="3"/>
  <c r="DB30" i="3" s="1"/>
  <c r="L23" i="10" s="1"/>
  <c r="DA30" i="3"/>
  <c r="DC30" i="3"/>
  <c r="Q23" i="10" s="1"/>
  <c r="A31" i="3"/>
  <c r="CY31" i="3"/>
  <c r="CZ31" i="3"/>
  <c r="DB31" i="3" s="1"/>
  <c r="DA31" i="3"/>
  <c r="DC31" i="3"/>
  <c r="A32" i="3"/>
  <c r="CY32" i="3"/>
  <c r="CZ32" i="3"/>
  <c r="DB32" i="3" s="1"/>
  <c r="L24" i="10" s="1"/>
  <c r="DA32" i="3"/>
  <c r="DC32" i="3"/>
  <c r="Q24" i="10" s="1"/>
  <c r="A33" i="3"/>
  <c r="CY33" i="3"/>
  <c r="CZ33" i="3"/>
  <c r="DA33" i="3"/>
  <c r="DB33" i="3"/>
  <c r="DC33" i="3"/>
  <c r="A34" i="3"/>
  <c r="CY34" i="3"/>
  <c r="CZ34" i="3"/>
  <c r="DB34" i="3" s="1"/>
  <c r="DA34" i="3"/>
  <c r="DC34" i="3"/>
  <c r="A35" i="3"/>
  <c r="CY35" i="3"/>
  <c r="CZ35" i="3"/>
  <c r="DB35" i="3" s="1"/>
  <c r="DA35" i="3"/>
  <c r="DC35" i="3"/>
  <c r="A36" i="3"/>
  <c r="CY36" i="3"/>
  <c r="CZ36" i="3"/>
  <c r="DA36" i="3"/>
  <c r="DB36" i="3"/>
  <c r="L25" i="10" s="1"/>
  <c r="DC36" i="3"/>
  <c r="Q25" i="10" s="1"/>
  <c r="A37" i="3"/>
  <c r="CY37" i="3"/>
  <c r="CZ37" i="3"/>
  <c r="DB37" i="3" s="1"/>
  <c r="DA37" i="3"/>
  <c r="DC37" i="3"/>
  <c r="A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B40" i="3" s="1"/>
  <c r="DA40" i="3"/>
  <c r="DC40" i="3"/>
  <c r="A41" i="3"/>
  <c r="CY41" i="3"/>
  <c r="CZ41" i="3"/>
  <c r="DA41" i="3"/>
  <c r="DB41" i="3"/>
  <c r="L28" i="10" s="1"/>
  <c r="DC41" i="3"/>
  <c r="Q28" i="10" s="1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A44" i="3"/>
  <c r="DB44" i="3"/>
  <c r="DC44" i="3"/>
  <c r="A45" i="3"/>
  <c r="CY45" i="3"/>
  <c r="CZ45" i="3"/>
  <c r="DB45" i="3" s="1"/>
  <c r="DA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B48" i="3" s="1"/>
  <c r="L35" i="10" s="1"/>
  <c r="DA48" i="3"/>
  <c r="DC48" i="3"/>
  <c r="Q35" i="10" s="1"/>
  <c r="A49" i="3"/>
  <c r="CY49" i="3"/>
  <c r="CZ49" i="3"/>
  <c r="DA49" i="3"/>
  <c r="DB49" i="3"/>
  <c r="L34" i="10" s="1"/>
  <c r="DC49" i="3"/>
  <c r="Q34" i="10" s="1"/>
  <c r="A50" i="3"/>
  <c r="CY50" i="3"/>
  <c r="CZ50" i="3"/>
  <c r="DB50" i="3" s="1"/>
  <c r="L33" i="10" s="1"/>
  <c r="DA50" i="3"/>
  <c r="DC50" i="3"/>
  <c r="Q33" i="10" s="1"/>
  <c r="A51" i="3"/>
  <c r="CY51" i="3"/>
  <c r="CZ51" i="3"/>
  <c r="DB51" i="3" s="1"/>
  <c r="L32" i="10" s="1"/>
  <c r="DA51" i="3"/>
  <c r="DC51" i="3"/>
  <c r="Q32" i="10" s="1"/>
  <c r="A52" i="3"/>
  <c r="CY52" i="3"/>
  <c r="CZ52" i="3"/>
  <c r="DA52" i="3"/>
  <c r="DB52" i="3"/>
  <c r="L31" i="10" s="1"/>
  <c r="DC52" i="3"/>
  <c r="Q31" i="10" s="1"/>
  <c r="A53" i="3"/>
  <c r="CY53" i="3"/>
  <c r="CZ53" i="3"/>
  <c r="DB53" i="3" s="1"/>
  <c r="L30" i="10" s="1"/>
  <c r="DA53" i="3"/>
  <c r="DC53" i="3"/>
  <c r="Q30" i="10" s="1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B56" i="3" s="1"/>
  <c r="DA56" i="3"/>
  <c r="DC56" i="3"/>
  <c r="A57" i="3"/>
  <c r="CX57" i="3"/>
  <c r="CY57" i="3"/>
  <c r="CZ57" i="3"/>
  <c r="DA57" i="3"/>
  <c r="DB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A60" i="3"/>
  <c r="DB60" i="3"/>
  <c r="L39" i="10" s="1"/>
  <c r="DC60" i="3"/>
  <c r="Q39" i="10" s="1"/>
  <c r="A61" i="3"/>
  <c r="CX61" i="3"/>
  <c r="CY61" i="3"/>
  <c r="CZ61" i="3"/>
  <c r="DB61" i="3" s="1"/>
  <c r="L38" i="10" s="1"/>
  <c r="DA61" i="3"/>
  <c r="DC61" i="3"/>
  <c r="Q38" i="10" s="1"/>
  <c r="A62" i="3"/>
  <c r="CX62" i="3"/>
  <c r="CY62" i="3"/>
  <c r="CZ62" i="3"/>
  <c r="DB62" i="3" s="1"/>
  <c r="L37" i="10" s="1"/>
  <c r="DA62" i="3"/>
  <c r="DC62" i="3"/>
  <c r="Q37" i="10" s="1"/>
  <c r="A63" i="3"/>
  <c r="CX63" i="3"/>
  <c r="CY63" i="3"/>
  <c r="CZ63" i="3"/>
  <c r="DB63" i="3" s="1"/>
  <c r="L36" i="10" s="1"/>
  <c r="DA63" i="3"/>
  <c r="DC63" i="3"/>
  <c r="Q36" i="10" s="1"/>
  <c r="A64" i="3"/>
  <c r="CX64" i="3"/>
  <c r="CY64" i="3"/>
  <c r="CZ64" i="3"/>
  <c r="DB64" i="3" s="1"/>
  <c r="DA64" i="3"/>
  <c r="DC64" i="3"/>
  <c r="A65" i="3"/>
  <c r="CX65" i="3"/>
  <c r="CY65" i="3"/>
  <c r="CZ65" i="3"/>
  <c r="DA65" i="3"/>
  <c r="DB65" i="3"/>
  <c r="DC65" i="3"/>
  <c r="A66" i="3"/>
  <c r="CX66" i="3"/>
  <c r="CY66" i="3"/>
  <c r="CZ66" i="3"/>
  <c r="DB66" i="3" s="1"/>
  <c r="DA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A68" i="3"/>
  <c r="DB68" i="3"/>
  <c r="DC68" i="3"/>
  <c r="A69" i="3"/>
  <c r="CX69" i="3"/>
  <c r="CY69" i="3"/>
  <c r="CZ69" i="3"/>
  <c r="DB69" i="3" s="1"/>
  <c r="DA69" i="3"/>
  <c r="DC69" i="3"/>
  <c r="A70" i="3"/>
  <c r="CX70" i="3"/>
  <c r="CY70" i="3"/>
  <c r="CZ70" i="3"/>
  <c r="DB70" i="3" s="1"/>
  <c r="DA70" i="3"/>
  <c r="DC70" i="3"/>
  <c r="A71" i="3"/>
  <c r="CX71" i="3"/>
  <c r="CY71" i="3"/>
  <c r="CZ71" i="3"/>
  <c r="DB71" i="3" s="1"/>
  <c r="L43" i="10" s="1"/>
  <c r="DA71" i="3"/>
  <c r="DC71" i="3"/>
  <c r="Q43" i="10" s="1"/>
  <c r="A72" i="3"/>
  <c r="CX72" i="3"/>
  <c r="CY72" i="3"/>
  <c r="CZ72" i="3"/>
  <c r="DB72" i="3" s="1"/>
  <c r="L42" i="10" s="1"/>
  <c r="DA72" i="3"/>
  <c r="DC72" i="3"/>
  <c r="Q42" i="10" s="1"/>
  <c r="A73" i="3"/>
  <c r="CX73" i="3"/>
  <c r="CY73" i="3"/>
  <c r="CZ73" i="3"/>
  <c r="DA73" i="3"/>
  <c r="DB73" i="3"/>
  <c r="L41" i="10" s="1"/>
  <c r="DC73" i="3"/>
  <c r="Q41" i="10" s="1"/>
  <c r="A74" i="3"/>
  <c r="CX74" i="3"/>
  <c r="CY74" i="3"/>
  <c r="CZ74" i="3"/>
  <c r="DB74" i="3" s="1"/>
  <c r="L40" i="10" s="1"/>
  <c r="DA74" i="3"/>
  <c r="DC74" i="3"/>
  <c r="Q40" i="10" s="1"/>
  <c r="A75" i="3"/>
  <c r="CX75" i="3"/>
  <c r="CY75" i="3"/>
  <c r="CZ75" i="3"/>
  <c r="DB75" i="3" s="1"/>
  <c r="DA75" i="3"/>
  <c r="DC75" i="3"/>
  <c r="A76" i="3"/>
  <c r="CX76" i="3"/>
  <c r="CY76" i="3"/>
  <c r="CZ76" i="3"/>
  <c r="DA76" i="3"/>
  <c r="DB76" i="3"/>
  <c r="DC76" i="3"/>
  <c r="A77" i="3"/>
  <c r="CX77" i="3"/>
  <c r="CY77" i="3"/>
  <c r="CZ77" i="3"/>
  <c r="DB77" i="3" s="1"/>
  <c r="DA77" i="3"/>
  <c r="DC77" i="3"/>
  <c r="A78" i="3"/>
  <c r="CX78" i="3"/>
  <c r="CY78" i="3"/>
  <c r="CZ78" i="3"/>
  <c r="DB78" i="3" s="1"/>
  <c r="DA78" i="3"/>
  <c r="DC78" i="3"/>
  <c r="A79" i="3"/>
  <c r="CX79" i="3"/>
  <c r="CY79" i="3"/>
  <c r="CZ79" i="3"/>
  <c r="DB79" i="3" s="1"/>
  <c r="L48" i="10" s="1"/>
  <c r="DA79" i="3"/>
  <c r="DC79" i="3"/>
  <c r="Q48" i="10" s="1"/>
  <c r="A80" i="3"/>
  <c r="CX80" i="3"/>
  <c r="CY80" i="3"/>
  <c r="CZ80" i="3"/>
  <c r="DB80" i="3" s="1"/>
  <c r="L47" i="10" s="1"/>
  <c r="DA80" i="3"/>
  <c r="DC80" i="3"/>
  <c r="Q47" i="10" s="1"/>
  <c r="A81" i="3"/>
  <c r="CX81" i="3"/>
  <c r="CY81" i="3"/>
  <c r="CZ81" i="3"/>
  <c r="DA81" i="3"/>
  <c r="DB81" i="3"/>
  <c r="L46" i="10" s="1"/>
  <c r="DC81" i="3"/>
  <c r="Q46" i="10" s="1"/>
  <c r="A82" i="3"/>
  <c r="CX82" i="3"/>
  <c r="CY82" i="3"/>
  <c r="CZ82" i="3"/>
  <c r="DB82" i="3" s="1"/>
  <c r="L45" i="10" s="1"/>
  <c r="DA82" i="3"/>
  <c r="DC82" i="3"/>
  <c r="Q45" i="10" s="1"/>
  <c r="A83" i="3"/>
  <c r="CX83" i="3"/>
  <c r="CY83" i="3"/>
  <c r="CZ83" i="3"/>
  <c r="DB83" i="3" s="1"/>
  <c r="L44" i="10" s="1"/>
  <c r="DA83" i="3"/>
  <c r="DC83" i="3"/>
  <c r="Q44" i="10" s="1"/>
  <c r="A84" i="3"/>
  <c r="CX84" i="3"/>
  <c r="CY84" i="3"/>
  <c r="CZ84" i="3"/>
  <c r="DA84" i="3"/>
  <c r="DB84" i="3"/>
  <c r="DC84" i="3"/>
  <c r="A85" i="3"/>
  <c r="CX85" i="3"/>
  <c r="CY85" i="3"/>
  <c r="CZ85" i="3"/>
  <c r="DB85" i="3" s="1"/>
  <c r="DA85" i="3"/>
  <c r="DC85" i="3"/>
  <c r="A86" i="3"/>
  <c r="CX86" i="3"/>
  <c r="CY86" i="3"/>
  <c r="CZ86" i="3"/>
  <c r="DB86" i="3" s="1"/>
  <c r="DA86" i="3"/>
  <c r="DC86" i="3"/>
  <c r="A87" i="3"/>
  <c r="CX87" i="3"/>
  <c r="CY87" i="3"/>
  <c r="CZ87" i="3"/>
  <c r="DB87" i="3" s="1"/>
  <c r="DA87" i="3"/>
  <c r="DC87" i="3"/>
  <c r="A88" i="3"/>
  <c r="CX88" i="3"/>
  <c r="CY88" i="3"/>
  <c r="CZ88" i="3"/>
  <c r="DB88" i="3" s="1"/>
  <c r="DA88" i="3"/>
  <c r="DC88" i="3"/>
  <c r="A89" i="3"/>
  <c r="CX89" i="3"/>
  <c r="CY89" i="3"/>
  <c r="CZ89" i="3"/>
  <c r="DA89" i="3"/>
  <c r="DB89" i="3"/>
  <c r="L53" i="10" s="1"/>
  <c r="DC89" i="3"/>
  <c r="Q53" i="10" s="1"/>
  <c r="A90" i="3"/>
  <c r="CX90" i="3"/>
  <c r="CY90" i="3"/>
  <c r="CZ90" i="3"/>
  <c r="DB90" i="3" s="1"/>
  <c r="L52" i="10" s="1"/>
  <c r="DA90" i="3"/>
  <c r="DC90" i="3"/>
  <c r="Q52" i="10" s="1"/>
  <c r="A91" i="3"/>
  <c r="CX91" i="3"/>
  <c r="CY91" i="3"/>
  <c r="CZ91" i="3"/>
  <c r="DB91" i="3" s="1"/>
  <c r="L51" i="10" s="1"/>
  <c r="DA91" i="3"/>
  <c r="DC91" i="3"/>
  <c r="Q51" i="10" s="1"/>
  <c r="A92" i="3"/>
  <c r="CX92" i="3"/>
  <c r="CY92" i="3"/>
  <c r="CZ92" i="3"/>
  <c r="DA92" i="3"/>
  <c r="DB92" i="3"/>
  <c r="L50" i="10" s="1"/>
  <c r="DC92" i="3"/>
  <c r="Q50" i="10" s="1"/>
  <c r="A93" i="3"/>
  <c r="CX93" i="3"/>
  <c r="CY93" i="3"/>
  <c r="CZ93" i="3"/>
  <c r="DB93" i="3" s="1"/>
  <c r="DA93" i="3"/>
  <c r="DC93" i="3"/>
  <c r="A94" i="3"/>
  <c r="CX94" i="3"/>
  <c r="CY94" i="3"/>
  <c r="CZ94" i="3"/>
  <c r="DB94" i="3" s="1"/>
  <c r="L54" i="10" s="1"/>
  <c r="DA94" i="3"/>
  <c r="DC94" i="3"/>
  <c r="Q54" i="10" s="1"/>
  <c r="A95" i="3"/>
  <c r="CX95" i="3"/>
  <c r="CY95" i="3"/>
  <c r="CZ95" i="3"/>
  <c r="DB95" i="3" s="1"/>
  <c r="DA95" i="3"/>
  <c r="DC95" i="3"/>
  <c r="A96" i="3"/>
  <c r="CX96" i="3"/>
  <c r="CY96" i="3"/>
  <c r="CZ96" i="3"/>
  <c r="DB96" i="3" s="1"/>
  <c r="DA96" i="3"/>
  <c r="DC96" i="3"/>
  <c r="A97" i="3"/>
  <c r="CX97" i="3"/>
  <c r="CY97" i="3"/>
  <c r="CZ97" i="3"/>
  <c r="DA97" i="3"/>
  <c r="DB97" i="3"/>
  <c r="DC97" i="3"/>
  <c r="A98" i="3"/>
  <c r="CX98" i="3"/>
  <c r="CY98" i="3"/>
  <c r="CZ98" i="3"/>
  <c r="DB98" i="3" s="1"/>
  <c r="DA98" i="3"/>
  <c r="DC98" i="3"/>
  <c r="A99" i="3"/>
  <c r="CX99" i="3"/>
  <c r="CY99" i="3"/>
  <c r="CZ99" i="3"/>
  <c r="DB99" i="3" s="1"/>
  <c r="DA99" i="3"/>
  <c r="DC99" i="3"/>
  <c r="A100" i="3"/>
  <c r="CX100" i="3"/>
  <c r="CY100" i="3"/>
  <c r="CZ100" i="3"/>
  <c r="DA100" i="3"/>
  <c r="DB100" i="3"/>
  <c r="L57" i="10" s="1"/>
  <c r="DC100" i="3"/>
  <c r="Q57" i="10" s="1"/>
  <c r="A101" i="3"/>
  <c r="CX101" i="3"/>
  <c r="CY101" i="3"/>
  <c r="CZ101" i="3"/>
  <c r="DB101" i="3" s="1"/>
  <c r="L56" i="10" s="1"/>
  <c r="DA101" i="3"/>
  <c r="DC101" i="3"/>
  <c r="Q56" i="10" s="1"/>
  <c r="A102" i="3"/>
  <c r="CX102" i="3"/>
  <c r="CY102" i="3"/>
  <c r="CZ102" i="3"/>
  <c r="DB102" i="3" s="1"/>
  <c r="DA102" i="3"/>
  <c r="DC102" i="3"/>
  <c r="A103" i="3"/>
  <c r="CX103" i="3"/>
  <c r="CY103" i="3"/>
  <c r="CZ103" i="3"/>
  <c r="DB103" i="3" s="1"/>
  <c r="L55" i="10" s="1"/>
  <c r="DA103" i="3"/>
  <c r="DC103" i="3"/>
  <c r="Q55" i="10" s="1"/>
  <c r="A104" i="3"/>
  <c r="CX104" i="3"/>
  <c r="CY104" i="3"/>
  <c r="CZ104" i="3"/>
  <c r="DB104" i="3" s="1"/>
  <c r="DA104" i="3"/>
  <c r="DC104" i="3"/>
  <c r="A105" i="3"/>
  <c r="CX105" i="3"/>
  <c r="CY105" i="3"/>
  <c r="CZ105" i="3"/>
  <c r="DA105" i="3"/>
  <c r="DB105" i="3"/>
  <c r="DC105" i="3"/>
  <c r="A106" i="3"/>
  <c r="CX106" i="3"/>
  <c r="CY106" i="3"/>
  <c r="CZ106" i="3"/>
  <c r="DB106" i="3" s="1"/>
  <c r="DA106" i="3"/>
  <c r="DC106" i="3"/>
  <c r="A107" i="3"/>
  <c r="CX107" i="3"/>
  <c r="CY107" i="3"/>
  <c r="CZ107" i="3"/>
  <c r="DB107" i="3" s="1"/>
  <c r="DA107" i="3"/>
  <c r="DC107" i="3"/>
  <c r="A108" i="3"/>
  <c r="CX108" i="3"/>
  <c r="CY108" i="3"/>
  <c r="CZ108" i="3"/>
  <c r="DA108" i="3"/>
  <c r="DB108" i="3"/>
  <c r="L63" i="10" s="1"/>
  <c r="DC108" i="3"/>
  <c r="Q63" i="10" s="1"/>
  <c r="A109" i="3"/>
  <c r="CX109" i="3"/>
  <c r="CY109" i="3"/>
  <c r="CZ109" i="3"/>
  <c r="DB109" i="3" s="1"/>
  <c r="L62" i="10" s="1"/>
  <c r="DA109" i="3"/>
  <c r="DC109" i="3"/>
  <c r="Q62" i="10" s="1"/>
  <c r="A110" i="3"/>
  <c r="CX110" i="3"/>
  <c r="CY110" i="3"/>
  <c r="CZ110" i="3"/>
  <c r="DB110" i="3" s="1"/>
  <c r="L61" i="10" s="1"/>
  <c r="DA110" i="3"/>
  <c r="DC110" i="3"/>
  <c r="Q61" i="10" s="1"/>
  <c r="A111" i="3"/>
  <c r="CX111" i="3"/>
  <c r="CY111" i="3"/>
  <c r="CZ111" i="3"/>
  <c r="DB111" i="3" s="1"/>
  <c r="L60" i="10" s="1"/>
  <c r="DA111" i="3"/>
  <c r="DC111" i="3"/>
  <c r="Q60" i="10" s="1"/>
  <c r="A112" i="3"/>
  <c r="CX112" i="3"/>
  <c r="CY112" i="3"/>
  <c r="CZ112" i="3"/>
  <c r="DB112" i="3" s="1"/>
  <c r="DA112" i="3"/>
  <c r="DC112" i="3"/>
  <c r="A113" i="3"/>
  <c r="CX113" i="3"/>
  <c r="CY113" i="3"/>
  <c r="CZ113" i="3"/>
  <c r="DA113" i="3"/>
  <c r="DB113" i="3"/>
  <c r="L59" i="10" s="1"/>
  <c r="DC113" i="3"/>
  <c r="Q59" i="10" s="1"/>
  <c r="A114" i="3"/>
  <c r="CY114" i="3"/>
  <c r="CZ114" i="3"/>
  <c r="DB114" i="3" s="1"/>
  <c r="DA114" i="3"/>
  <c r="DC114" i="3"/>
  <c r="A115" i="3"/>
  <c r="CY115" i="3"/>
  <c r="CZ115" i="3"/>
  <c r="DB115" i="3" s="1"/>
  <c r="DA115" i="3"/>
  <c r="DC115" i="3"/>
  <c r="A116" i="3"/>
  <c r="CY116" i="3"/>
  <c r="CZ116" i="3"/>
  <c r="DA116" i="3"/>
  <c r="DB116" i="3"/>
  <c r="L65" i="10" s="1"/>
  <c r="DC116" i="3"/>
  <c r="Q65" i="10" s="1"/>
  <c r="A117" i="3"/>
  <c r="CX117" i="3"/>
  <c r="CY117" i="3"/>
  <c r="CZ117" i="3"/>
  <c r="DA117" i="3"/>
  <c r="DB117" i="3"/>
  <c r="DC117" i="3"/>
  <c r="A118" i="3"/>
  <c r="CX118" i="3"/>
  <c r="CY118" i="3"/>
  <c r="CZ118" i="3"/>
  <c r="DB118" i="3" s="1"/>
  <c r="DA118" i="3"/>
  <c r="DC118" i="3"/>
  <c r="A119" i="3"/>
  <c r="CX119" i="3"/>
  <c r="CY119" i="3"/>
  <c r="CZ119" i="3"/>
  <c r="DB119" i="3" s="1"/>
  <c r="DA119" i="3"/>
  <c r="DC119" i="3"/>
  <c r="A120" i="3"/>
  <c r="CX120" i="3"/>
  <c r="CY120" i="3"/>
  <c r="CZ120" i="3"/>
  <c r="DB120" i="3" s="1"/>
  <c r="DA120" i="3"/>
  <c r="DC12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CX1" i="3" s="1"/>
  <c r="AC28" i="1"/>
  <c r="AD28" i="1"/>
  <c r="AE28" i="1"/>
  <c r="CS28" i="1" s="1"/>
  <c r="R28" i="1" s="1"/>
  <c r="AF28" i="1"/>
  <c r="AG28" i="1"/>
  <c r="AH28" i="1"/>
  <c r="CV28" i="1" s="1"/>
  <c r="U28" i="1" s="1"/>
  <c r="AI28" i="1"/>
  <c r="CW28" i="1" s="1"/>
  <c r="V28" i="1" s="1"/>
  <c r="AJ28" i="1"/>
  <c r="CX28" i="1" s="1"/>
  <c r="CQ28" i="1"/>
  <c r="CR28" i="1"/>
  <c r="Q28" i="1" s="1"/>
  <c r="CU28" i="1"/>
  <c r="T28" i="1" s="1"/>
  <c r="FR28" i="1"/>
  <c r="GL28" i="1"/>
  <c r="GO28" i="1"/>
  <c r="GP28" i="1"/>
  <c r="GV28" i="1"/>
  <c r="HC28" i="1" s="1"/>
  <c r="GX28" i="1"/>
  <c r="C29" i="1"/>
  <c r="D29" i="1"/>
  <c r="AC29" i="1"/>
  <c r="AE29" i="1"/>
  <c r="AD29" i="1" s="1"/>
  <c r="CR29" i="1" s="1"/>
  <c r="AF29" i="1"/>
  <c r="AG29" i="1"/>
  <c r="CU29" i="1" s="1"/>
  <c r="AH29" i="1"/>
  <c r="CV29" i="1" s="1"/>
  <c r="AI29" i="1"/>
  <c r="CW29" i="1" s="1"/>
  <c r="AJ29" i="1"/>
  <c r="CS29" i="1"/>
  <c r="CT29" i="1"/>
  <c r="CX29" i="1"/>
  <c r="FR29" i="1"/>
  <c r="GL29" i="1"/>
  <c r="GO29" i="1"/>
  <c r="GP29" i="1"/>
  <c r="GV29" i="1"/>
  <c r="HC29" i="1" s="1"/>
  <c r="C30" i="1"/>
  <c r="D30" i="1"/>
  <c r="AC30" i="1"/>
  <c r="AD30" i="1"/>
  <c r="AE30" i="1"/>
  <c r="AF30" i="1"/>
  <c r="CT30" i="1" s="1"/>
  <c r="AG30" i="1"/>
  <c r="AH30" i="1"/>
  <c r="CV30" i="1" s="1"/>
  <c r="AI30" i="1"/>
  <c r="CW30" i="1" s="1"/>
  <c r="AJ30" i="1"/>
  <c r="CU30" i="1"/>
  <c r="CX30" i="1"/>
  <c r="FR30" i="1"/>
  <c r="GL30" i="1"/>
  <c r="GO30" i="1"/>
  <c r="GP30" i="1"/>
  <c r="GV30" i="1"/>
  <c r="HC30" i="1" s="1"/>
  <c r="C31" i="1"/>
  <c r="D31" i="1"/>
  <c r="AC31" i="1"/>
  <c r="AD31" i="1"/>
  <c r="AE31" i="1"/>
  <c r="CS31" i="1" s="1"/>
  <c r="AF31" i="1"/>
  <c r="AG31" i="1"/>
  <c r="CU31" i="1" s="1"/>
  <c r="AH31" i="1"/>
  <c r="AI31" i="1"/>
  <c r="CW31" i="1" s="1"/>
  <c r="AJ31" i="1"/>
  <c r="CX31" i="1" s="1"/>
  <c r="CQ31" i="1"/>
  <c r="CR31" i="1"/>
  <c r="CV31" i="1"/>
  <c r="FR31" i="1"/>
  <c r="GL31" i="1"/>
  <c r="GO31" i="1"/>
  <c r="GP31" i="1"/>
  <c r="GV31" i="1"/>
  <c r="HC31" i="1" s="1"/>
  <c r="C32" i="1"/>
  <c r="D32" i="1"/>
  <c r="I32" i="1"/>
  <c r="CX9" i="3" s="1"/>
  <c r="AC32" i="1"/>
  <c r="AE32" i="1"/>
  <c r="AD32" i="1" s="1"/>
  <c r="AB32" i="1" s="1"/>
  <c r="AF32" i="1"/>
  <c r="AG32" i="1"/>
  <c r="CU32" i="1" s="1"/>
  <c r="AH32" i="1"/>
  <c r="AI32" i="1"/>
  <c r="CW32" i="1" s="1"/>
  <c r="V32" i="1" s="1"/>
  <c r="AJ32" i="1"/>
  <c r="CX32" i="1" s="1"/>
  <c r="CV32" i="1"/>
  <c r="U32" i="1" s="1"/>
  <c r="FR32" i="1"/>
  <c r="GL32" i="1"/>
  <c r="GO32" i="1"/>
  <c r="GP32" i="1"/>
  <c r="GV32" i="1"/>
  <c r="HC32" i="1" s="1"/>
  <c r="GX32" i="1" s="1"/>
  <c r="C33" i="1"/>
  <c r="D33" i="1"/>
  <c r="AC33" i="1"/>
  <c r="AE33" i="1"/>
  <c r="CS33" i="1" s="1"/>
  <c r="R33" i="1" s="1"/>
  <c r="AF33" i="1"/>
  <c r="CT33" i="1" s="1"/>
  <c r="S33" i="1" s="1"/>
  <c r="AG33" i="1"/>
  <c r="CU33" i="1" s="1"/>
  <c r="T33" i="1" s="1"/>
  <c r="AH33" i="1"/>
  <c r="CV33" i="1" s="1"/>
  <c r="U33" i="1" s="1"/>
  <c r="AI33" i="1"/>
  <c r="CW33" i="1" s="1"/>
  <c r="V33" i="1" s="1"/>
  <c r="AJ33" i="1"/>
  <c r="CX33" i="1" s="1"/>
  <c r="W33" i="1" s="1"/>
  <c r="FR33" i="1"/>
  <c r="GL33" i="1"/>
  <c r="GN33" i="1"/>
  <c r="GP33" i="1"/>
  <c r="GV33" i="1"/>
  <c r="HC33" i="1" s="1"/>
  <c r="GX33" i="1" s="1"/>
  <c r="I34" i="1"/>
  <c r="AC34" i="1"/>
  <c r="AD34" i="1"/>
  <c r="CR34" i="1" s="1"/>
  <c r="Q34" i="1" s="1"/>
  <c r="AE34" i="1"/>
  <c r="CS34" i="1" s="1"/>
  <c r="R34" i="1" s="1"/>
  <c r="AF34" i="1"/>
  <c r="AG34" i="1"/>
  <c r="CU34" i="1" s="1"/>
  <c r="AH34" i="1"/>
  <c r="CV34" i="1" s="1"/>
  <c r="U34" i="1" s="1"/>
  <c r="AI34" i="1"/>
  <c r="AJ34" i="1"/>
  <c r="CT34" i="1"/>
  <c r="CW34" i="1"/>
  <c r="V34" i="1" s="1"/>
  <c r="CX34" i="1"/>
  <c r="FR34" i="1"/>
  <c r="GL34" i="1"/>
  <c r="GN34" i="1"/>
  <c r="GP34" i="1"/>
  <c r="GV34" i="1"/>
  <c r="HC34" i="1"/>
  <c r="I35" i="1"/>
  <c r="AC35" i="1"/>
  <c r="AE35" i="1"/>
  <c r="AF35" i="1"/>
  <c r="AG35" i="1"/>
  <c r="CU35" i="1" s="1"/>
  <c r="T35" i="1" s="1"/>
  <c r="AH35" i="1"/>
  <c r="CV35" i="1" s="1"/>
  <c r="U35" i="1" s="1"/>
  <c r="AI35" i="1"/>
  <c r="CW35" i="1" s="1"/>
  <c r="AJ35" i="1"/>
  <c r="CX35" i="1" s="1"/>
  <c r="W35" i="1" s="1"/>
  <c r="CQ35" i="1"/>
  <c r="FR35" i="1"/>
  <c r="GL35" i="1"/>
  <c r="GN35" i="1"/>
  <c r="GP35" i="1"/>
  <c r="GV35" i="1"/>
  <c r="HC35" i="1" s="1"/>
  <c r="GX35" i="1" s="1"/>
  <c r="C36" i="1"/>
  <c r="D36" i="1"/>
  <c r="AC36" i="1"/>
  <c r="AD36" i="1"/>
  <c r="AE36" i="1"/>
  <c r="AF36" i="1"/>
  <c r="CT36" i="1" s="1"/>
  <c r="S36" i="1" s="1"/>
  <c r="AG36" i="1"/>
  <c r="CU36" i="1" s="1"/>
  <c r="T36" i="1" s="1"/>
  <c r="AH36" i="1"/>
  <c r="CV36" i="1" s="1"/>
  <c r="U36" i="1" s="1"/>
  <c r="AI36" i="1"/>
  <c r="CW36" i="1" s="1"/>
  <c r="V36" i="1" s="1"/>
  <c r="AJ36" i="1"/>
  <c r="CX36" i="1" s="1"/>
  <c r="W36" i="1" s="1"/>
  <c r="FR36" i="1"/>
  <c r="GL36" i="1"/>
  <c r="GN36" i="1"/>
  <c r="GP36" i="1"/>
  <c r="GV36" i="1"/>
  <c r="HC36" i="1" s="1"/>
  <c r="GX36" i="1" s="1"/>
  <c r="I37" i="1"/>
  <c r="AC37" i="1"/>
  <c r="AE37" i="1"/>
  <c r="CS37" i="1" s="1"/>
  <c r="AF37" i="1"/>
  <c r="CT37" i="1" s="1"/>
  <c r="S37" i="1" s="1"/>
  <c r="AG37" i="1"/>
  <c r="CU37" i="1" s="1"/>
  <c r="AH37" i="1"/>
  <c r="AI37" i="1"/>
  <c r="CW37" i="1" s="1"/>
  <c r="AJ37" i="1"/>
  <c r="CX37" i="1" s="1"/>
  <c r="CV37" i="1"/>
  <c r="FR37" i="1"/>
  <c r="GL37" i="1"/>
  <c r="GN37" i="1"/>
  <c r="GP37" i="1"/>
  <c r="GV37" i="1"/>
  <c r="HC37" i="1"/>
  <c r="I38" i="1"/>
  <c r="AC38" i="1"/>
  <c r="AD38" i="1"/>
  <c r="AE38" i="1"/>
  <c r="AF38" i="1"/>
  <c r="AG38" i="1"/>
  <c r="CU38" i="1" s="1"/>
  <c r="T38" i="1" s="1"/>
  <c r="AH38" i="1"/>
  <c r="AI38" i="1"/>
  <c r="CW38" i="1" s="1"/>
  <c r="AJ38" i="1"/>
  <c r="CX38" i="1" s="1"/>
  <c r="W38" i="1" s="1"/>
  <c r="CQ38" i="1"/>
  <c r="P38" i="1" s="1"/>
  <c r="CR38" i="1"/>
  <c r="CV38" i="1"/>
  <c r="U38" i="1" s="1"/>
  <c r="FR38" i="1"/>
  <c r="GL38" i="1"/>
  <c r="GO38" i="1"/>
  <c r="GP38" i="1"/>
  <c r="GV38" i="1"/>
  <c r="HC38" i="1" s="1"/>
  <c r="GX38" i="1" s="1"/>
  <c r="C39" i="1"/>
  <c r="D39" i="1"/>
  <c r="AC39" i="1"/>
  <c r="AD39" i="1"/>
  <c r="CR39" i="1" s="1"/>
  <c r="Q39" i="1" s="1"/>
  <c r="AE39" i="1"/>
  <c r="CS39" i="1" s="1"/>
  <c r="R39" i="1" s="1"/>
  <c r="AF39" i="1"/>
  <c r="AG39" i="1"/>
  <c r="CU39" i="1" s="1"/>
  <c r="T39" i="1" s="1"/>
  <c r="AH39" i="1"/>
  <c r="CV39" i="1" s="1"/>
  <c r="U39" i="1" s="1"/>
  <c r="AI39" i="1"/>
  <c r="AJ39" i="1"/>
  <c r="CX39" i="1" s="1"/>
  <c r="W39" i="1" s="1"/>
  <c r="CW39" i="1"/>
  <c r="V39" i="1" s="1"/>
  <c r="FR39" i="1"/>
  <c r="GL39" i="1"/>
  <c r="GO39" i="1"/>
  <c r="GP39" i="1"/>
  <c r="GV39" i="1"/>
  <c r="HC39" i="1" s="1"/>
  <c r="GX39" i="1" s="1"/>
  <c r="C40" i="1"/>
  <c r="D40" i="1"/>
  <c r="I40" i="1"/>
  <c r="W40" i="1" s="1"/>
  <c r="AC40" i="1"/>
  <c r="AD40" i="1"/>
  <c r="CR40" i="1" s="1"/>
  <c r="Q40" i="1" s="1"/>
  <c r="AE40" i="1"/>
  <c r="CS40" i="1" s="1"/>
  <c r="AF40" i="1"/>
  <c r="AG40" i="1"/>
  <c r="CU40" i="1" s="1"/>
  <c r="T40" i="1" s="1"/>
  <c r="AH40" i="1"/>
  <c r="CV40" i="1" s="1"/>
  <c r="U40" i="1" s="1"/>
  <c r="AI40" i="1"/>
  <c r="CW40" i="1" s="1"/>
  <c r="AJ40" i="1"/>
  <c r="CQ40" i="1"/>
  <c r="P40" i="1" s="1"/>
  <c r="CT40" i="1"/>
  <c r="S40" i="1" s="1"/>
  <c r="CX40" i="1"/>
  <c r="FR40" i="1"/>
  <c r="GL40" i="1"/>
  <c r="GO40" i="1"/>
  <c r="GP40" i="1"/>
  <c r="GV40" i="1"/>
  <c r="HC40" i="1" s="1"/>
  <c r="GX40" i="1" s="1"/>
  <c r="C41" i="1"/>
  <c r="D41" i="1"/>
  <c r="I41" i="1"/>
  <c r="AC41" i="1"/>
  <c r="AE41" i="1"/>
  <c r="AF41" i="1"/>
  <c r="AG41" i="1"/>
  <c r="CU41" i="1" s="1"/>
  <c r="T41" i="1" s="1"/>
  <c r="AH41" i="1"/>
  <c r="CV41" i="1" s="1"/>
  <c r="AI41" i="1"/>
  <c r="CW41" i="1" s="1"/>
  <c r="AJ41" i="1"/>
  <c r="CX41" i="1" s="1"/>
  <c r="W41" i="1" s="1"/>
  <c r="CQ41" i="1"/>
  <c r="FR41" i="1"/>
  <c r="GL41" i="1"/>
  <c r="GO41" i="1"/>
  <c r="GP41" i="1"/>
  <c r="GV41" i="1"/>
  <c r="HC41" i="1" s="1"/>
  <c r="AC42" i="1"/>
  <c r="AD42" i="1"/>
  <c r="CR42" i="1" s="1"/>
  <c r="AE42" i="1"/>
  <c r="AF42" i="1"/>
  <c r="CT42" i="1" s="1"/>
  <c r="AG42" i="1"/>
  <c r="CU42" i="1" s="1"/>
  <c r="AH42" i="1"/>
  <c r="CV42" i="1" s="1"/>
  <c r="AI42" i="1"/>
  <c r="CW42" i="1" s="1"/>
  <c r="AJ42" i="1"/>
  <c r="CX42" i="1" s="1"/>
  <c r="FR42" i="1"/>
  <c r="GL42" i="1"/>
  <c r="GO42" i="1"/>
  <c r="GP42" i="1"/>
  <c r="GV42" i="1"/>
  <c r="HC42" i="1" s="1"/>
  <c r="B44" i="1"/>
  <c r="B26" i="1" s="1"/>
  <c r="C44" i="1"/>
  <c r="C26" i="1" s="1"/>
  <c r="D44" i="1"/>
  <c r="D26" i="1" s="1"/>
  <c r="F44" i="1"/>
  <c r="F26" i="1" s="1"/>
  <c r="G44" i="1"/>
  <c r="BX44" i="1"/>
  <c r="BX26" i="1" s="1"/>
  <c r="CK44" i="1"/>
  <c r="CK26" i="1" s="1"/>
  <c r="CL44" i="1"/>
  <c r="D73" i="1"/>
  <c r="E75" i="1"/>
  <c r="Z75" i="1"/>
  <c r="AA75" i="1"/>
  <c r="AM75" i="1"/>
  <c r="AN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GF75" i="1"/>
  <c r="GG75" i="1"/>
  <c r="GH75" i="1"/>
  <c r="GI75" i="1"/>
  <c r="GJ75" i="1"/>
  <c r="GK75" i="1"/>
  <c r="GL75" i="1"/>
  <c r="GM75" i="1"/>
  <c r="GN75" i="1"/>
  <c r="GO75" i="1"/>
  <c r="GP75" i="1"/>
  <c r="GQ75" i="1"/>
  <c r="GR75" i="1"/>
  <c r="GS75" i="1"/>
  <c r="GT75" i="1"/>
  <c r="GU75" i="1"/>
  <c r="GV75" i="1"/>
  <c r="GW75" i="1"/>
  <c r="GX75" i="1"/>
  <c r="C77" i="1"/>
  <c r="D77" i="1"/>
  <c r="I77" i="1"/>
  <c r="AC77" i="1"/>
  <c r="AE77" i="1"/>
  <c r="AD77" i="1" s="1"/>
  <c r="AF77" i="1"/>
  <c r="AG77" i="1"/>
  <c r="CU77" i="1" s="1"/>
  <c r="AH77" i="1"/>
  <c r="AI77" i="1"/>
  <c r="AJ77" i="1"/>
  <c r="CV77" i="1"/>
  <c r="CW77" i="1"/>
  <c r="V77" i="1" s="1"/>
  <c r="CX77" i="1"/>
  <c r="FR77" i="1"/>
  <c r="GL77" i="1"/>
  <c r="GN77" i="1"/>
  <c r="GP77" i="1"/>
  <c r="GV77" i="1"/>
  <c r="HC77" i="1" s="1"/>
  <c r="I78" i="1"/>
  <c r="AC78" i="1"/>
  <c r="AE78" i="1"/>
  <c r="CS78" i="1" s="1"/>
  <c r="R78" i="1" s="1"/>
  <c r="AF78" i="1"/>
  <c r="AG78" i="1"/>
  <c r="CU78" i="1" s="1"/>
  <c r="AH78" i="1"/>
  <c r="CV78" i="1" s="1"/>
  <c r="AI78" i="1"/>
  <c r="CW78" i="1" s="1"/>
  <c r="AJ78" i="1"/>
  <c r="CX78" i="1" s="1"/>
  <c r="CQ78" i="1"/>
  <c r="FR78" i="1"/>
  <c r="GL78" i="1"/>
  <c r="GN78" i="1"/>
  <c r="GP78" i="1"/>
  <c r="GV78" i="1"/>
  <c r="HC78" i="1" s="1"/>
  <c r="C79" i="1"/>
  <c r="D79" i="1"/>
  <c r="AC79" i="1"/>
  <c r="AE79" i="1"/>
  <c r="AD79" i="1" s="1"/>
  <c r="AF79" i="1"/>
  <c r="AG79" i="1"/>
  <c r="CU79" i="1" s="1"/>
  <c r="AH79" i="1"/>
  <c r="CV79" i="1" s="1"/>
  <c r="AI79" i="1"/>
  <c r="AJ79" i="1"/>
  <c r="CS79" i="1"/>
  <c r="CT79" i="1"/>
  <c r="CW79" i="1"/>
  <c r="CX79" i="1"/>
  <c r="FR79" i="1"/>
  <c r="GL79" i="1"/>
  <c r="GN79" i="1"/>
  <c r="GP79" i="1"/>
  <c r="GV79" i="1"/>
  <c r="HC79" i="1" s="1"/>
  <c r="C80" i="1"/>
  <c r="D80" i="1"/>
  <c r="AC80" i="1"/>
  <c r="CQ80" i="1" s="1"/>
  <c r="P80" i="1" s="1"/>
  <c r="AE80" i="1"/>
  <c r="AF80" i="1"/>
  <c r="AG80" i="1"/>
  <c r="AH80" i="1"/>
  <c r="CV80" i="1" s="1"/>
  <c r="U80" i="1" s="1"/>
  <c r="AI80" i="1"/>
  <c r="CW80" i="1" s="1"/>
  <c r="V80" i="1" s="1"/>
  <c r="AJ80" i="1"/>
  <c r="CX80" i="1" s="1"/>
  <c r="W80" i="1" s="1"/>
  <c r="CU80" i="1"/>
  <c r="T80" i="1" s="1"/>
  <c r="FR80" i="1"/>
  <c r="GL80" i="1"/>
  <c r="GN80" i="1"/>
  <c r="GP80" i="1"/>
  <c r="GV80" i="1"/>
  <c r="HC80" i="1" s="1"/>
  <c r="GX80" i="1" s="1"/>
  <c r="C81" i="1"/>
  <c r="D81" i="1"/>
  <c r="AC81" i="1"/>
  <c r="AE81" i="1"/>
  <c r="AF81" i="1"/>
  <c r="AG81" i="1"/>
  <c r="CU81" i="1" s="1"/>
  <c r="T81" i="1" s="1"/>
  <c r="AH81" i="1"/>
  <c r="CV81" i="1" s="1"/>
  <c r="U81" i="1" s="1"/>
  <c r="AI81" i="1"/>
  <c r="AJ81" i="1"/>
  <c r="CX81" i="1" s="1"/>
  <c r="W81" i="1" s="1"/>
  <c r="CS81" i="1"/>
  <c r="R81" i="1" s="1"/>
  <c r="CT81" i="1"/>
  <c r="S81" i="1" s="1"/>
  <c r="CW81" i="1"/>
  <c r="V81" i="1" s="1"/>
  <c r="FR81" i="1"/>
  <c r="GL81" i="1"/>
  <c r="GN81" i="1"/>
  <c r="GP81" i="1"/>
  <c r="GV81" i="1"/>
  <c r="HC81" i="1"/>
  <c r="GX81" i="1" s="1"/>
  <c r="C82" i="1"/>
  <c r="D82" i="1"/>
  <c r="P82" i="1"/>
  <c r="AC82" i="1"/>
  <c r="AE82" i="1"/>
  <c r="CS82" i="1" s="1"/>
  <c r="R82" i="1" s="1"/>
  <c r="AF82" i="1"/>
  <c r="CT82" i="1" s="1"/>
  <c r="S82" i="1" s="1"/>
  <c r="AG82" i="1"/>
  <c r="AH82" i="1"/>
  <c r="CV82" i="1" s="1"/>
  <c r="U82" i="1" s="1"/>
  <c r="AI82" i="1"/>
  <c r="CW82" i="1" s="1"/>
  <c r="V82" i="1" s="1"/>
  <c r="AJ82" i="1"/>
  <c r="CX82" i="1" s="1"/>
  <c r="W82" i="1" s="1"/>
  <c r="CQ82" i="1"/>
  <c r="CU82" i="1"/>
  <c r="T82" i="1" s="1"/>
  <c r="FR82" i="1"/>
  <c r="GL82" i="1"/>
  <c r="GN82" i="1"/>
  <c r="GP82" i="1"/>
  <c r="GV82" i="1"/>
  <c r="HC82" i="1" s="1"/>
  <c r="GX82" i="1" s="1"/>
  <c r="I83" i="1"/>
  <c r="AC83" i="1"/>
  <c r="AD83" i="1"/>
  <c r="CR83" i="1" s="1"/>
  <c r="Q83" i="1" s="1"/>
  <c r="AE83" i="1"/>
  <c r="AF83" i="1"/>
  <c r="CT83" i="1" s="1"/>
  <c r="S83" i="1" s="1"/>
  <c r="AG83" i="1"/>
  <c r="CU83" i="1" s="1"/>
  <c r="T83" i="1" s="1"/>
  <c r="AH83" i="1"/>
  <c r="CV83" i="1" s="1"/>
  <c r="U83" i="1" s="1"/>
  <c r="AI83" i="1"/>
  <c r="AJ83" i="1"/>
  <c r="CQ83" i="1"/>
  <c r="P83" i="1" s="1"/>
  <c r="CS83" i="1"/>
  <c r="R83" i="1" s="1"/>
  <c r="CW83" i="1"/>
  <c r="V83" i="1" s="1"/>
  <c r="CX83" i="1"/>
  <c r="W83" i="1" s="1"/>
  <c r="FR83" i="1"/>
  <c r="GL83" i="1"/>
  <c r="GO83" i="1"/>
  <c r="GP83" i="1"/>
  <c r="GV83" i="1"/>
  <c r="HC83" i="1" s="1"/>
  <c r="GX83" i="1" s="1"/>
  <c r="C84" i="1"/>
  <c r="D84" i="1"/>
  <c r="AC84" i="1"/>
  <c r="AE84" i="1"/>
  <c r="AF84" i="1"/>
  <c r="AG84" i="1"/>
  <c r="AH84" i="1"/>
  <c r="AI84" i="1"/>
  <c r="CW84" i="1" s="1"/>
  <c r="V84" i="1" s="1"/>
  <c r="AJ84" i="1"/>
  <c r="CX84" i="1" s="1"/>
  <c r="W84" i="1" s="1"/>
  <c r="CU84" i="1"/>
  <c r="T84" i="1" s="1"/>
  <c r="CV84" i="1"/>
  <c r="U84" i="1" s="1"/>
  <c r="FR84" i="1"/>
  <c r="GL84" i="1"/>
  <c r="GN84" i="1"/>
  <c r="GP84" i="1"/>
  <c r="GV84" i="1"/>
  <c r="HC84" i="1"/>
  <c r="GX84" i="1" s="1"/>
  <c r="C85" i="1"/>
  <c r="D85" i="1"/>
  <c r="AC85" i="1"/>
  <c r="AD85" i="1"/>
  <c r="CR85" i="1" s="1"/>
  <c r="Q85" i="1" s="1"/>
  <c r="AE85" i="1"/>
  <c r="AF85" i="1"/>
  <c r="CT85" i="1" s="1"/>
  <c r="S85" i="1" s="1"/>
  <c r="AG85" i="1"/>
  <c r="CU85" i="1" s="1"/>
  <c r="T85" i="1" s="1"/>
  <c r="AH85" i="1"/>
  <c r="CV85" i="1" s="1"/>
  <c r="U85" i="1" s="1"/>
  <c r="AI85" i="1"/>
  <c r="AJ85" i="1"/>
  <c r="CQ85" i="1"/>
  <c r="P85" i="1" s="1"/>
  <c r="CS85" i="1"/>
  <c r="R85" i="1" s="1"/>
  <c r="CW85" i="1"/>
  <c r="V85" i="1" s="1"/>
  <c r="CX85" i="1"/>
  <c r="W85" i="1" s="1"/>
  <c r="FR85" i="1"/>
  <c r="GL85" i="1"/>
  <c r="GN85" i="1"/>
  <c r="GP85" i="1"/>
  <c r="GV85" i="1"/>
  <c r="HC85" i="1" s="1"/>
  <c r="GX85" i="1" s="1"/>
  <c r="C86" i="1"/>
  <c r="D86" i="1"/>
  <c r="AC86" i="1"/>
  <c r="AE86" i="1"/>
  <c r="CS86" i="1" s="1"/>
  <c r="R86" i="1" s="1"/>
  <c r="AF86" i="1"/>
  <c r="AG86" i="1"/>
  <c r="AH86" i="1"/>
  <c r="CV86" i="1" s="1"/>
  <c r="U86" i="1" s="1"/>
  <c r="AI86" i="1"/>
  <c r="CW86" i="1" s="1"/>
  <c r="V86" i="1" s="1"/>
  <c r="AJ86" i="1"/>
  <c r="CX86" i="1" s="1"/>
  <c r="W86" i="1" s="1"/>
  <c r="CU86" i="1"/>
  <c r="T86" i="1" s="1"/>
  <c r="FR86" i="1"/>
  <c r="GL86" i="1"/>
  <c r="GN86" i="1"/>
  <c r="GP86" i="1"/>
  <c r="GV86" i="1"/>
  <c r="HC86" i="1"/>
  <c r="GX86" i="1" s="1"/>
  <c r="I87" i="1"/>
  <c r="AC87" i="1"/>
  <c r="AE87" i="1"/>
  <c r="CS87" i="1" s="1"/>
  <c r="R87" i="1" s="1"/>
  <c r="AF87" i="1"/>
  <c r="AG87" i="1"/>
  <c r="AH87" i="1"/>
  <c r="CV87" i="1" s="1"/>
  <c r="U87" i="1" s="1"/>
  <c r="AI87" i="1"/>
  <c r="CW87" i="1" s="1"/>
  <c r="V87" i="1" s="1"/>
  <c r="AJ87" i="1"/>
  <c r="CU87" i="1"/>
  <c r="T87" i="1" s="1"/>
  <c r="CX87" i="1"/>
  <c r="W87" i="1" s="1"/>
  <c r="FR87" i="1"/>
  <c r="GL87" i="1"/>
  <c r="GN87" i="1"/>
  <c r="GP87" i="1"/>
  <c r="GV87" i="1"/>
  <c r="HC87" i="1" s="1"/>
  <c r="GX87" i="1" s="1"/>
  <c r="C88" i="1"/>
  <c r="D88" i="1"/>
  <c r="P88" i="1"/>
  <c r="AC88" i="1"/>
  <c r="AD88" i="1"/>
  <c r="AE88" i="1"/>
  <c r="AF88" i="1"/>
  <c r="AG88" i="1"/>
  <c r="CU88" i="1" s="1"/>
  <c r="T88" i="1" s="1"/>
  <c r="AH88" i="1"/>
  <c r="CV88" i="1" s="1"/>
  <c r="U88" i="1" s="1"/>
  <c r="AI88" i="1"/>
  <c r="CW88" i="1" s="1"/>
  <c r="V88" i="1" s="1"/>
  <c r="AJ88" i="1"/>
  <c r="CQ88" i="1"/>
  <c r="CT88" i="1"/>
  <c r="S88" i="1" s="1"/>
  <c r="CX88" i="1"/>
  <c r="W88" i="1" s="1"/>
  <c r="FR88" i="1"/>
  <c r="GL88" i="1"/>
  <c r="GN88" i="1"/>
  <c r="GP88" i="1"/>
  <c r="GV88" i="1"/>
  <c r="HC88" i="1" s="1"/>
  <c r="GX88" i="1" s="1"/>
  <c r="I89" i="1"/>
  <c r="AC89" i="1"/>
  <c r="AD89" i="1"/>
  <c r="CR89" i="1" s="1"/>
  <c r="AE89" i="1"/>
  <c r="AF89" i="1"/>
  <c r="AG89" i="1"/>
  <c r="CU89" i="1" s="1"/>
  <c r="T89" i="1" s="1"/>
  <c r="AH89" i="1"/>
  <c r="CV89" i="1" s="1"/>
  <c r="AI89" i="1"/>
  <c r="AJ89" i="1"/>
  <c r="CS89" i="1"/>
  <c r="R89" i="1" s="1"/>
  <c r="CT89" i="1"/>
  <c r="S89" i="1" s="1"/>
  <c r="CW89" i="1"/>
  <c r="CX89" i="1"/>
  <c r="W89" i="1" s="1"/>
  <c r="FR89" i="1"/>
  <c r="GL89" i="1"/>
  <c r="GN89" i="1"/>
  <c r="GP89" i="1"/>
  <c r="GV89" i="1"/>
  <c r="HC89" i="1" s="1"/>
  <c r="GX89" i="1" s="1"/>
  <c r="C90" i="1"/>
  <c r="D90" i="1"/>
  <c r="AC90" i="1"/>
  <c r="AE90" i="1"/>
  <c r="CS90" i="1" s="1"/>
  <c r="AF90" i="1"/>
  <c r="AG90" i="1"/>
  <c r="CU90" i="1" s="1"/>
  <c r="AH90" i="1"/>
  <c r="AI90" i="1"/>
  <c r="CW90" i="1" s="1"/>
  <c r="AJ90" i="1"/>
  <c r="CX90" i="1" s="1"/>
  <c r="CT90" i="1"/>
  <c r="CV90" i="1"/>
  <c r="FR90" i="1"/>
  <c r="GL90" i="1"/>
  <c r="GN90" i="1"/>
  <c r="GP90" i="1"/>
  <c r="GV90" i="1"/>
  <c r="HC90" i="1" s="1"/>
  <c r="B92" i="1"/>
  <c r="B75" i="1" s="1"/>
  <c r="C92" i="1"/>
  <c r="C75" i="1" s="1"/>
  <c r="D92" i="1"/>
  <c r="D75" i="1" s="1"/>
  <c r="F92" i="1"/>
  <c r="F75" i="1" s="1"/>
  <c r="G92" i="1"/>
  <c r="BC92" i="1"/>
  <c r="BX92" i="1"/>
  <c r="CK92" i="1"/>
  <c r="CK75" i="1" s="1"/>
  <c r="CL92" i="1"/>
  <c r="CL75" i="1" s="1"/>
  <c r="D121" i="1"/>
  <c r="C123" i="1"/>
  <c r="E123" i="1"/>
  <c r="Z123" i="1"/>
  <c r="AA123" i="1"/>
  <c r="AM123" i="1"/>
  <c r="AN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C125" i="1"/>
  <c r="D125" i="1"/>
  <c r="AC125" i="1"/>
  <c r="CQ125" i="1" s="1"/>
  <c r="P125" i="1" s="1"/>
  <c r="AE125" i="1"/>
  <c r="CS125" i="1" s="1"/>
  <c r="R125" i="1" s="1"/>
  <c r="AF125" i="1"/>
  <c r="AG125" i="1"/>
  <c r="CU125" i="1" s="1"/>
  <c r="T125" i="1" s="1"/>
  <c r="AH125" i="1"/>
  <c r="CV125" i="1" s="1"/>
  <c r="U125" i="1" s="1"/>
  <c r="AI125" i="1"/>
  <c r="CW125" i="1" s="1"/>
  <c r="V125" i="1" s="1"/>
  <c r="AJ125" i="1"/>
  <c r="CT125" i="1"/>
  <c r="S125" i="1" s="1"/>
  <c r="CX125" i="1"/>
  <c r="W125" i="1" s="1"/>
  <c r="AJ128" i="1" s="1"/>
  <c r="FR125" i="1"/>
  <c r="GL125" i="1"/>
  <c r="GN125" i="1"/>
  <c r="GO125" i="1"/>
  <c r="CC128" i="1" s="1"/>
  <c r="AT128" i="1" s="1"/>
  <c r="GV125" i="1"/>
  <c r="HC125" i="1" s="1"/>
  <c r="GX125" i="1" s="1"/>
  <c r="C126" i="1"/>
  <c r="D126" i="1"/>
  <c r="AC126" i="1"/>
  <c r="CQ126" i="1" s="1"/>
  <c r="P126" i="1" s="1"/>
  <c r="AE126" i="1"/>
  <c r="AD126" i="1" s="1"/>
  <c r="CR126" i="1" s="1"/>
  <c r="Q126" i="1" s="1"/>
  <c r="AF126" i="1"/>
  <c r="AG126" i="1"/>
  <c r="CU126" i="1" s="1"/>
  <c r="T126" i="1" s="1"/>
  <c r="AH126" i="1"/>
  <c r="CV126" i="1" s="1"/>
  <c r="U126" i="1" s="1"/>
  <c r="AI126" i="1"/>
  <c r="CW126" i="1" s="1"/>
  <c r="V126" i="1" s="1"/>
  <c r="AJ126" i="1"/>
  <c r="CX126" i="1"/>
  <c r="W126" i="1" s="1"/>
  <c r="FR126" i="1"/>
  <c r="GL126" i="1"/>
  <c r="GN126" i="1"/>
  <c r="CB128" i="1" s="1"/>
  <c r="GO126" i="1"/>
  <c r="GV126" i="1"/>
  <c r="HC126" i="1"/>
  <c r="GX126" i="1" s="1"/>
  <c r="B128" i="1"/>
  <c r="B123" i="1" s="1"/>
  <c r="C128" i="1"/>
  <c r="D128" i="1"/>
  <c r="D123" i="1" s="1"/>
  <c r="F128" i="1"/>
  <c r="F123" i="1" s="1"/>
  <c r="G128" i="1"/>
  <c r="AI128" i="1"/>
  <c r="AI123" i="1" s="1"/>
  <c r="BX128" i="1"/>
  <c r="BZ128" i="1"/>
  <c r="CG128" i="1" s="1"/>
  <c r="CK128" i="1"/>
  <c r="CK123" i="1" s="1"/>
  <c r="CL128" i="1"/>
  <c r="D157" i="1"/>
  <c r="E159" i="1"/>
  <c r="Z159" i="1"/>
  <c r="AA159" i="1"/>
  <c r="AM159" i="1"/>
  <c r="AN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DW159" i="1"/>
  <c r="DX159" i="1"/>
  <c r="DY159" i="1"/>
  <c r="DZ159" i="1"/>
  <c r="EA159" i="1"/>
  <c r="EB159" i="1"/>
  <c r="EC159" i="1"/>
  <c r="ED159" i="1"/>
  <c r="EE159" i="1"/>
  <c r="EF159" i="1"/>
  <c r="EG159" i="1"/>
  <c r="EH159" i="1"/>
  <c r="EI159" i="1"/>
  <c r="EJ159" i="1"/>
  <c r="EK159" i="1"/>
  <c r="EL159" i="1"/>
  <c r="EM159" i="1"/>
  <c r="EN159" i="1"/>
  <c r="EO159" i="1"/>
  <c r="EP159" i="1"/>
  <c r="EQ159" i="1"/>
  <c r="ER159" i="1"/>
  <c r="ES159" i="1"/>
  <c r="ET159" i="1"/>
  <c r="EU159" i="1"/>
  <c r="EV159" i="1"/>
  <c r="EW159" i="1"/>
  <c r="EX159" i="1"/>
  <c r="EY159" i="1"/>
  <c r="EZ159" i="1"/>
  <c r="FA159" i="1"/>
  <c r="FB159" i="1"/>
  <c r="FC159" i="1"/>
  <c r="FD159" i="1"/>
  <c r="FE159" i="1"/>
  <c r="FF159" i="1"/>
  <c r="FG159" i="1"/>
  <c r="FH159" i="1"/>
  <c r="FI159" i="1"/>
  <c r="FJ159" i="1"/>
  <c r="FK159" i="1"/>
  <c r="FL159" i="1"/>
  <c r="FM159" i="1"/>
  <c r="FN159" i="1"/>
  <c r="FO159" i="1"/>
  <c r="FP159" i="1"/>
  <c r="FQ159" i="1"/>
  <c r="FR159" i="1"/>
  <c r="FS159" i="1"/>
  <c r="FT159" i="1"/>
  <c r="FU159" i="1"/>
  <c r="FV159" i="1"/>
  <c r="FW159" i="1"/>
  <c r="FX159" i="1"/>
  <c r="FY159" i="1"/>
  <c r="FZ159" i="1"/>
  <c r="GA159" i="1"/>
  <c r="GB159" i="1"/>
  <c r="GC159" i="1"/>
  <c r="GD159" i="1"/>
  <c r="GE159" i="1"/>
  <c r="GF159" i="1"/>
  <c r="GG159" i="1"/>
  <c r="GH159" i="1"/>
  <c r="GI159" i="1"/>
  <c r="GJ159" i="1"/>
  <c r="GK159" i="1"/>
  <c r="GL159" i="1"/>
  <c r="GM159" i="1"/>
  <c r="GN159" i="1"/>
  <c r="GO159" i="1"/>
  <c r="GP159" i="1"/>
  <c r="GQ159" i="1"/>
  <c r="GR159" i="1"/>
  <c r="GS159" i="1"/>
  <c r="GT159" i="1"/>
  <c r="GU159" i="1"/>
  <c r="GV159" i="1"/>
  <c r="GW159" i="1"/>
  <c r="GX159" i="1"/>
  <c r="U161" i="1"/>
  <c r="AC161" i="1"/>
  <c r="AE161" i="1"/>
  <c r="AF161" i="1"/>
  <c r="AG161" i="1"/>
  <c r="CU161" i="1" s="1"/>
  <c r="T161" i="1" s="1"/>
  <c r="AG163" i="1" s="1"/>
  <c r="AG159" i="1" s="1"/>
  <c r="AH161" i="1"/>
  <c r="AI161" i="1"/>
  <c r="CW161" i="1" s="1"/>
  <c r="V161" i="1" s="1"/>
  <c r="AI163" i="1" s="1"/>
  <c r="AI159" i="1" s="1"/>
  <c r="AJ161" i="1"/>
  <c r="CT161" i="1"/>
  <c r="S161" i="1" s="1"/>
  <c r="CV161" i="1"/>
  <c r="CX161" i="1"/>
  <c r="W161" i="1" s="1"/>
  <c r="AJ163" i="1" s="1"/>
  <c r="FR161" i="1"/>
  <c r="BY163" i="1" s="1"/>
  <c r="GL161" i="1"/>
  <c r="BZ163" i="1" s="1"/>
  <c r="GO161" i="1"/>
  <c r="GP161" i="1"/>
  <c r="CD163" i="1" s="1"/>
  <c r="GV161" i="1"/>
  <c r="HC161" i="1" s="1"/>
  <c r="GX161" i="1" s="1"/>
  <c r="CJ163" i="1" s="1"/>
  <c r="B163" i="1"/>
  <c r="B159" i="1" s="1"/>
  <c r="C163" i="1"/>
  <c r="C159" i="1" s="1"/>
  <c r="D163" i="1"/>
  <c r="D159" i="1" s="1"/>
  <c r="F163" i="1"/>
  <c r="F159" i="1" s="1"/>
  <c r="G163" i="1"/>
  <c r="BX163" i="1"/>
  <c r="CC163" i="1"/>
  <c r="CC159" i="1" s="1"/>
  <c r="CK163" i="1"/>
  <c r="CK159" i="1" s="1"/>
  <c r="CL163" i="1"/>
  <c r="D192" i="1"/>
  <c r="E194" i="1"/>
  <c r="Z194" i="1"/>
  <c r="AA194" i="1"/>
  <c r="AM194" i="1"/>
  <c r="AN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CK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DE194" i="1"/>
  <c r="DF194" i="1"/>
  <c r="DG194" i="1"/>
  <c r="DH194" i="1"/>
  <c r="DI194" i="1"/>
  <c r="DJ194" i="1"/>
  <c r="DK194" i="1"/>
  <c r="DL194" i="1"/>
  <c r="DM194" i="1"/>
  <c r="DN194" i="1"/>
  <c r="DO194" i="1"/>
  <c r="DP194" i="1"/>
  <c r="DQ194" i="1"/>
  <c r="DR194" i="1"/>
  <c r="DS194" i="1"/>
  <c r="DT194" i="1"/>
  <c r="DU194" i="1"/>
  <c r="DV194" i="1"/>
  <c r="DW194" i="1"/>
  <c r="DX194" i="1"/>
  <c r="DY194" i="1"/>
  <c r="DZ194" i="1"/>
  <c r="EA194" i="1"/>
  <c r="EB194" i="1"/>
  <c r="EC194" i="1"/>
  <c r="ED194" i="1"/>
  <c r="EE194" i="1"/>
  <c r="EF194" i="1"/>
  <c r="EG194" i="1"/>
  <c r="EH194" i="1"/>
  <c r="EI194" i="1"/>
  <c r="EJ194" i="1"/>
  <c r="EK194" i="1"/>
  <c r="EL194" i="1"/>
  <c r="EM194" i="1"/>
  <c r="EN194" i="1"/>
  <c r="EO194" i="1"/>
  <c r="EP194" i="1"/>
  <c r="EQ194" i="1"/>
  <c r="ER194" i="1"/>
  <c r="ES194" i="1"/>
  <c r="ET194" i="1"/>
  <c r="EU194" i="1"/>
  <c r="EV194" i="1"/>
  <c r="EW194" i="1"/>
  <c r="EX194" i="1"/>
  <c r="EY194" i="1"/>
  <c r="EZ194" i="1"/>
  <c r="FA194" i="1"/>
  <c r="FB194" i="1"/>
  <c r="FC194" i="1"/>
  <c r="FD194" i="1"/>
  <c r="FE194" i="1"/>
  <c r="FF194" i="1"/>
  <c r="FG194" i="1"/>
  <c r="FH194" i="1"/>
  <c r="FI194" i="1"/>
  <c r="FJ194" i="1"/>
  <c r="FK194" i="1"/>
  <c r="FL194" i="1"/>
  <c r="FM194" i="1"/>
  <c r="FN194" i="1"/>
  <c r="FO194" i="1"/>
  <c r="FP194" i="1"/>
  <c r="FQ194" i="1"/>
  <c r="FR194" i="1"/>
  <c r="FS194" i="1"/>
  <c r="FT194" i="1"/>
  <c r="FU194" i="1"/>
  <c r="FV194" i="1"/>
  <c r="FW194" i="1"/>
  <c r="FX194" i="1"/>
  <c r="FY194" i="1"/>
  <c r="FZ194" i="1"/>
  <c r="GA194" i="1"/>
  <c r="GB194" i="1"/>
  <c r="GC194" i="1"/>
  <c r="GD194" i="1"/>
  <c r="GE194" i="1"/>
  <c r="GF194" i="1"/>
  <c r="GG194" i="1"/>
  <c r="GH194" i="1"/>
  <c r="GI194" i="1"/>
  <c r="GJ194" i="1"/>
  <c r="GK194" i="1"/>
  <c r="GL194" i="1"/>
  <c r="GM194" i="1"/>
  <c r="GN194" i="1"/>
  <c r="GO194" i="1"/>
  <c r="GP194" i="1"/>
  <c r="GQ194" i="1"/>
  <c r="GR194" i="1"/>
  <c r="GS194" i="1"/>
  <c r="GT194" i="1"/>
  <c r="GU194" i="1"/>
  <c r="GV194" i="1"/>
  <c r="GW194" i="1"/>
  <c r="GX194" i="1"/>
  <c r="AC196" i="1"/>
  <c r="AE196" i="1"/>
  <c r="AF196" i="1"/>
  <c r="AG196" i="1"/>
  <c r="AH196" i="1"/>
  <c r="AI196" i="1"/>
  <c r="CW196" i="1" s="1"/>
  <c r="V196" i="1" s="1"/>
  <c r="AI199" i="1" s="1"/>
  <c r="AI194" i="1" s="1"/>
  <c r="AJ196" i="1"/>
  <c r="CU196" i="1"/>
  <c r="T196" i="1" s="1"/>
  <c r="AG199" i="1" s="1"/>
  <c r="CV196" i="1"/>
  <c r="U196" i="1" s="1"/>
  <c r="CX196" i="1"/>
  <c r="W196" i="1" s="1"/>
  <c r="FR196" i="1"/>
  <c r="GL196" i="1"/>
  <c r="BZ199" i="1" s="1"/>
  <c r="GO196" i="1"/>
  <c r="CC199" i="1" s="1"/>
  <c r="GP196" i="1"/>
  <c r="GV196" i="1"/>
  <c r="HC196" i="1" s="1"/>
  <c r="GX196" i="1" s="1"/>
  <c r="AC197" i="1"/>
  <c r="AE197" i="1"/>
  <c r="AF197" i="1"/>
  <c r="AG197" i="1"/>
  <c r="AH197" i="1"/>
  <c r="AI197" i="1"/>
  <c r="CW197" i="1" s="1"/>
  <c r="V197" i="1" s="1"/>
  <c r="AJ197" i="1"/>
  <c r="CX197" i="1" s="1"/>
  <c r="W197" i="1" s="1"/>
  <c r="CQ197" i="1"/>
  <c r="P197" i="1" s="1"/>
  <c r="CU197" i="1"/>
  <c r="T197" i="1" s="1"/>
  <c r="CV197" i="1"/>
  <c r="U197" i="1" s="1"/>
  <c r="FR197" i="1"/>
  <c r="GL197" i="1"/>
  <c r="GO197" i="1"/>
  <c r="GP197" i="1"/>
  <c r="GV197" i="1"/>
  <c r="HC197" i="1" s="1"/>
  <c r="GX197" i="1"/>
  <c r="B199" i="1"/>
  <c r="B194" i="1" s="1"/>
  <c r="C199" i="1"/>
  <c r="C194" i="1" s="1"/>
  <c r="D199" i="1"/>
  <c r="D194" i="1" s="1"/>
  <c r="F199" i="1"/>
  <c r="F194" i="1" s="1"/>
  <c r="G199" i="1"/>
  <c r="BX199" i="1"/>
  <c r="BY199" i="1"/>
  <c r="BY194" i="1" s="1"/>
  <c r="CD199" i="1"/>
  <c r="CD194" i="1" s="1"/>
  <c r="CK199" i="1"/>
  <c r="BB199" i="1" s="1"/>
  <c r="CL199" i="1"/>
  <c r="CL194" i="1" s="1"/>
  <c r="B230" i="1"/>
  <c r="B22" i="1" s="1"/>
  <c r="C230" i="1"/>
  <c r="C22" i="1" s="1"/>
  <c r="D230" i="1"/>
  <c r="D22" i="1" s="1"/>
  <c r="F230" i="1"/>
  <c r="F22" i="1" s="1"/>
  <c r="G230" i="1"/>
  <c r="B259" i="1"/>
  <c r="B18" i="1" s="1"/>
  <c r="C259" i="1"/>
  <c r="C18" i="1" s="1"/>
  <c r="D259" i="1"/>
  <c r="D18" i="1" s="1"/>
  <c r="F259" i="1"/>
  <c r="F18" i="1" s="1"/>
  <c r="G259" i="1"/>
  <c r="BB194" i="1" l="1"/>
  <c r="F212" i="1"/>
  <c r="BZ194" i="1"/>
  <c r="CI199" i="1"/>
  <c r="CI194" i="1" s="1"/>
  <c r="AP163" i="1"/>
  <c r="BY159" i="1"/>
  <c r="L185" i="6"/>
  <c r="K187" i="5"/>
  <c r="CZ88" i="1"/>
  <c r="Y88" i="1" s="1"/>
  <c r="L64" i="6"/>
  <c r="K66" i="5"/>
  <c r="O20" i="10"/>
  <c r="F11" i="9" s="1"/>
  <c r="M20" i="10"/>
  <c r="M212" i="6"/>
  <c r="M213" i="6"/>
  <c r="Q213" i="6" s="1"/>
  <c r="L214" i="5"/>
  <c r="L215" i="5"/>
  <c r="Q215" i="5" s="1"/>
  <c r="M183" i="6"/>
  <c r="Q183" i="6" s="1"/>
  <c r="M181" i="6"/>
  <c r="L183" i="5"/>
  <c r="L185" i="5"/>
  <c r="Q185" i="5" s="1"/>
  <c r="CZ83" i="1"/>
  <c r="Y83" i="1" s="1"/>
  <c r="CY83" i="1"/>
  <c r="X83" i="1" s="1"/>
  <c r="L135" i="6"/>
  <c r="K137" i="5"/>
  <c r="S42" i="1"/>
  <c r="CZ42" i="1" s="1"/>
  <c r="Y42" i="1" s="1"/>
  <c r="O47" i="10"/>
  <c r="M47" i="10"/>
  <c r="L209" i="6"/>
  <c r="K211" i="5"/>
  <c r="M147" i="6"/>
  <c r="M148" i="6"/>
  <c r="Q148" i="6" s="1"/>
  <c r="L150" i="5"/>
  <c r="Q150" i="5" s="1"/>
  <c r="L149" i="5"/>
  <c r="CR79" i="1"/>
  <c r="M62" i="6"/>
  <c r="Q62" i="6" s="1"/>
  <c r="L64" i="5"/>
  <c r="Q64" i="5" s="1"/>
  <c r="M61" i="6"/>
  <c r="L63" i="5"/>
  <c r="O14" i="10"/>
  <c r="M14" i="10"/>
  <c r="M19" i="10"/>
  <c r="O19" i="10"/>
  <c r="F12" i="9" s="1"/>
  <c r="L177" i="6"/>
  <c r="K179" i="5"/>
  <c r="O24" i="10"/>
  <c r="M24" i="10"/>
  <c r="M10" i="10"/>
  <c r="O10" i="10"/>
  <c r="F15" i="9" s="1"/>
  <c r="M218" i="6"/>
  <c r="M219" i="6"/>
  <c r="Q219" i="6" s="1"/>
  <c r="L220" i="5"/>
  <c r="L221" i="5"/>
  <c r="Q221" i="5" s="1"/>
  <c r="F146" i="1"/>
  <c r="AT123" i="1"/>
  <c r="CZ85" i="1"/>
  <c r="Y85" i="1" s="1"/>
  <c r="L168" i="6"/>
  <c r="K170" i="5"/>
  <c r="CY85" i="1"/>
  <c r="X85" i="1" s="1"/>
  <c r="AB84" i="1"/>
  <c r="L150" i="6"/>
  <c r="K152" i="5"/>
  <c r="CY82" i="1"/>
  <c r="X82" i="1" s="1"/>
  <c r="CZ82" i="1"/>
  <c r="Y82" i="1" s="1"/>
  <c r="M139" i="6"/>
  <c r="Q139" i="6" s="1"/>
  <c r="M138" i="6"/>
  <c r="L140" i="5"/>
  <c r="L141" i="5"/>
  <c r="Q141" i="5" s="1"/>
  <c r="W42" i="1"/>
  <c r="L73" i="6"/>
  <c r="K75" i="5"/>
  <c r="O56" i="10"/>
  <c r="F37" i="9" s="1"/>
  <c r="M56" i="10"/>
  <c r="CC194" i="1"/>
  <c r="AT199" i="1"/>
  <c r="M235" i="6"/>
  <c r="Q235" i="6" s="1"/>
  <c r="M239" i="6" s="1"/>
  <c r="L237" i="5"/>
  <c r="Q237" i="5" s="1"/>
  <c r="L143" i="6"/>
  <c r="K145" i="5"/>
  <c r="O62" i="10"/>
  <c r="M62" i="10"/>
  <c r="M42" i="10"/>
  <c r="O42" i="10"/>
  <c r="O38" i="10"/>
  <c r="M38" i="10"/>
  <c r="O9" i="10"/>
  <c r="F22" i="9" s="1"/>
  <c r="M9" i="10"/>
  <c r="AT163" i="1"/>
  <c r="G194" i="1"/>
  <c r="A54" i="9" s="1"/>
  <c r="AF241" i="5"/>
  <c r="A241" i="5"/>
  <c r="A239" i="6"/>
  <c r="L236" i="6"/>
  <c r="K237" i="6" s="1"/>
  <c r="P237" i="6" s="1"/>
  <c r="K238" i="5"/>
  <c r="J239" i="5" s="1"/>
  <c r="P239" i="5" s="1"/>
  <c r="N71" i="10"/>
  <c r="K71" i="10"/>
  <c r="M71" i="10" s="1"/>
  <c r="I236" i="6"/>
  <c r="H238" i="5"/>
  <c r="AJ199" i="1"/>
  <c r="W199" i="1" s="1"/>
  <c r="U234" i="6"/>
  <c r="S234" i="6"/>
  <c r="U236" i="5"/>
  <c r="S236" i="5"/>
  <c r="BB163" i="1"/>
  <c r="BB159" i="1" s="1"/>
  <c r="G159" i="1"/>
  <c r="A50" i="9" s="1"/>
  <c r="A229" i="6"/>
  <c r="A231" i="5"/>
  <c r="K68" i="10"/>
  <c r="M68" i="10" s="1"/>
  <c r="N68" i="10"/>
  <c r="I226" i="6"/>
  <c r="H228" i="5"/>
  <c r="BY128" i="1"/>
  <c r="BB92" i="1"/>
  <c r="AD90" i="1"/>
  <c r="S64" i="10"/>
  <c r="P64" i="10"/>
  <c r="V89" i="1"/>
  <c r="D49" i="7"/>
  <c r="I64" i="10"/>
  <c r="D45" i="9" s="1"/>
  <c r="F192" i="6"/>
  <c r="E194" i="5"/>
  <c r="CS88" i="1"/>
  <c r="R88" i="1" s="1"/>
  <c r="I187" i="6"/>
  <c r="R187" i="6" s="1"/>
  <c r="H189" i="5"/>
  <c r="R189" i="5" s="1"/>
  <c r="CT87" i="1"/>
  <c r="S87" i="1" s="1"/>
  <c r="CZ87" i="1" s="1"/>
  <c r="Y87" i="1" s="1"/>
  <c r="U182" i="6"/>
  <c r="S182" i="6"/>
  <c r="U184" i="5"/>
  <c r="S184" i="5"/>
  <c r="I58" i="10"/>
  <c r="D41" i="9" s="1"/>
  <c r="D47" i="7"/>
  <c r="F182" i="6"/>
  <c r="E184" i="5"/>
  <c r="CT86" i="1"/>
  <c r="S86" i="1" s="1"/>
  <c r="I175" i="6"/>
  <c r="U174" i="6"/>
  <c r="S176" i="5"/>
  <c r="H181" i="5" s="1"/>
  <c r="H177" i="5"/>
  <c r="S174" i="6"/>
  <c r="I179" i="6" s="1"/>
  <c r="U176" i="5"/>
  <c r="H182" i="5" s="1"/>
  <c r="CQ84" i="1"/>
  <c r="P84" i="1" s="1"/>
  <c r="P49" i="10"/>
  <c r="R49" i="10" s="1"/>
  <c r="S49" i="10"/>
  <c r="T49" i="10" s="1"/>
  <c r="I49" i="10"/>
  <c r="D31" i="9" s="1"/>
  <c r="D43" i="7"/>
  <c r="F156" i="6"/>
  <c r="E158" i="5"/>
  <c r="I152" i="6"/>
  <c r="H154" i="5"/>
  <c r="AD81" i="1"/>
  <c r="I143" i="6"/>
  <c r="R143" i="6" s="1"/>
  <c r="H145" i="5"/>
  <c r="R145" i="5" s="1"/>
  <c r="I134" i="6"/>
  <c r="R134" i="6" s="1"/>
  <c r="H136" i="5"/>
  <c r="R136" i="5" s="1"/>
  <c r="K29" i="10"/>
  <c r="M29" i="10" s="1"/>
  <c r="N29" i="10"/>
  <c r="CT77" i="1"/>
  <c r="S77" i="1" s="1"/>
  <c r="I114" i="6"/>
  <c r="S113" i="6"/>
  <c r="U113" i="6"/>
  <c r="H116" i="5"/>
  <c r="U115" i="5"/>
  <c r="S115" i="5"/>
  <c r="CS42" i="1"/>
  <c r="R42" i="1" s="1"/>
  <c r="P26" i="10"/>
  <c r="S26" i="10"/>
  <c r="GX41" i="1"/>
  <c r="V41" i="1"/>
  <c r="I100" i="6"/>
  <c r="R100" i="6" s="1"/>
  <c r="H102" i="5"/>
  <c r="R102" i="5" s="1"/>
  <c r="U90" i="6"/>
  <c r="I94" i="6" s="1"/>
  <c r="I91" i="6"/>
  <c r="S90" i="6"/>
  <c r="I93" i="6" s="1"/>
  <c r="S92" i="5"/>
  <c r="H95" i="5" s="1"/>
  <c r="H93" i="5"/>
  <c r="U92" i="5"/>
  <c r="H96" i="5" s="1"/>
  <c r="CQ39" i="1"/>
  <c r="P39" i="1" s="1"/>
  <c r="I85" i="6"/>
  <c r="H87" i="5"/>
  <c r="V38" i="1"/>
  <c r="CS38" i="1"/>
  <c r="R38" i="1" s="1"/>
  <c r="S22" i="10"/>
  <c r="P22" i="10"/>
  <c r="R22" i="10" s="1"/>
  <c r="N21" i="10"/>
  <c r="O21" i="10" s="1"/>
  <c r="K21" i="10"/>
  <c r="CS36" i="1"/>
  <c r="R36" i="1" s="1"/>
  <c r="I75" i="6"/>
  <c r="R75" i="6" s="1"/>
  <c r="H77" i="5"/>
  <c r="R77" i="5" s="1"/>
  <c r="V35" i="1"/>
  <c r="P13" i="10"/>
  <c r="S13" i="10"/>
  <c r="H71" i="5"/>
  <c r="X71" i="5" s="1"/>
  <c r="I69" i="6"/>
  <c r="X69" i="6" s="1"/>
  <c r="M68" i="6"/>
  <c r="L70" i="5"/>
  <c r="M71" i="6"/>
  <c r="Q71" i="6" s="1"/>
  <c r="L73" i="5"/>
  <c r="Q73" i="5" s="1"/>
  <c r="AD33" i="1"/>
  <c r="CR33" i="1" s="1"/>
  <c r="Q33" i="1" s="1"/>
  <c r="CS32" i="1"/>
  <c r="R32" i="1" s="1"/>
  <c r="CQ32" i="1"/>
  <c r="P32" i="1" s="1"/>
  <c r="I58" i="6"/>
  <c r="H60" i="5"/>
  <c r="AB30" i="1"/>
  <c r="R47" i="10"/>
  <c r="T47" i="10"/>
  <c r="R42" i="10"/>
  <c r="T42" i="10"/>
  <c r="O23" i="10"/>
  <c r="F19" i="9" s="1"/>
  <c r="M23" i="10"/>
  <c r="T15" i="10"/>
  <c r="R15" i="10"/>
  <c r="O18" i="10"/>
  <c r="F14" i="9" s="1"/>
  <c r="M18" i="10"/>
  <c r="T19" i="10"/>
  <c r="R19" i="10"/>
  <c r="O12" i="10"/>
  <c r="F25" i="9" s="1"/>
  <c r="M12" i="10"/>
  <c r="T8" i="10"/>
  <c r="R8" i="10"/>
  <c r="T10" i="10"/>
  <c r="R10" i="10"/>
  <c r="U41" i="1"/>
  <c r="I101" i="6"/>
  <c r="H103" i="5"/>
  <c r="V40" i="1"/>
  <c r="R40" i="1"/>
  <c r="CY40" i="1" s="1"/>
  <c r="X40" i="1" s="1"/>
  <c r="CT39" i="1"/>
  <c r="S39" i="1" s="1"/>
  <c r="S83" i="6"/>
  <c r="I86" i="6" s="1"/>
  <c r="U83" i="6"/>
  <c r="I87" i="6" s="1"/>
  <c r="H86" i="5"/>
  <c r="S85" i="5"/>
  <c r="H88" i="5" s="1"/>
  <c r="I84" i="6"/>
  <c r="U85" i="5"/>
  <c r="H89" i="5" s="1"/>
  <c r="Q38" i="1"/>
  <c r="CP38" i="1" s="1"/>
  <c r="O38" i="1" s="1"/>
  <c r="AB38" i="1"/>
  <c r="M82" i="6"/>
  <c r="Q82" i="6" s="1"/>
  <c r="M79" i="6"/>
  <c r="L81" i="5"/>
  <c r="L84" i="5"/>
  <c r="Q84" i="5" s="1"/>
  <c r="CR36" i="1"/>
  <c r="Q36" i="1" s="1"/>
  <c r="I74" i="6"/>
  <c r="H76" i="5"/>
  <c r="K13" i="10"/>
  <c r="N13" i="10"/>
  <c r="S69" i="6"/>
  <c r="U69" i="6"/>
  <c r="S71" i="5"/>
  <c r="U71" i="5"/>
  <c r="I65" i="6"/>
  <c r="H67" i="5"/>
  <c r="CR32" i="1"/>
  <c r="Q32" i="1" s="1"/>
  <c r="T32" i="1"/>
  <c r="AB31" i="1"/>
  <c r="I30" i="1"/>
  <c r="S51" i="5" s="1"/>
  <c r="H46" i="5"/>
  <c r="W28" i="1"/>
  <c r="CT28" i="1"/>
  <c r="S28" i="1" s="1"/>
  <c r="U37" i="6"/>
  <c r="I40" i="6" s="1"/>
  <c r="S37" i="6"/>
  <c r="I39" i="6" s="1"/>
  <c r="I38" i="6"/>
  <c r="U39" i="5"/>
  <c r="H42" i="5" s="1"/>
  <c r="H40" i="5"/>
  <c r="S39" i="5"/>
  <c r="H41" i="5" s="1"/>
  <c r="P28" i="1"/>
  <c r="R59" i="10"/>
  <c r="T59" i="10"/>
  <c r="M60" i="10"/>
  <c r="O60" i="10"/>
  <c r="R61" i="10"/>
  <c r="T61" i="10"/>
  <c r="M55" i="10"/>
  <c r="O55" i="10"/>
  <c r="R54" i="10"/>
  <c r="T54" i="10"/>
  <c r="T51" i="10"/>
  <c r="R51" i="10"/>
  <c r="O52" i="10"/>
  <c r="M52" i="10"/>
  <c r="R53" i="10"/>
  <c r="T53" i="10"/>
  <c r="R44" i="10"/>
  <c r="T44" i="10"/>
  <c r="O45" i="10"/>
  <c r="F43" i="9" s="1"/>
  <c r="M45" i="10"/>
  <c r="T46" i="10"/>
  <c r="R46" i="10"/>
  <c r="O48" i="10"/>
  <c r="F33" i="9" s="1"/>
  <c r="M48" i="10"/>
  <c r="O40" i="10"/>
  <c r="M40" i="10"/>
  <c r="R41" i="10"/>
  <c r="T41" i="10"/>
  <c r="O43" i="10"/>
  <c r="M43" i="10"/>
  <c r="O36" i="10"/>
  <c r="M36" i="10"/>
  <c r="R37" i="10"/>
  <c r="T37" i="10"/>
  <c r="R28" i="10"/>
  <c r="T28" i="10"/>
  <c r="R25" i="10"/>
  <c r="T25" i="10"/>
  <c r="T17" i="10"/>
  <c r="R17" i="10"/>
  <c r="R9" i="10"/>
  <c r="T9" i="10"/>
  <c r="CX8" i="3"/>
  <c r="O11" i="10"/>
  <c r="F13" i="9" s="1"/>
  <c r="M11" i="10"/>
  <c r="G123" i="1"/>
  <c r="A49" i="9" s="1"/>
  <c r="A221" i="6"/>
  <c r="A223" i="5"/>
  <c r="G75" i="1"/>
  <c r="A27" i="9" s="1"/>
  <c r="A203" i="6"/>
  <c r="A205" i="5"/>
  <c r="CR88" i="1"/>
  <c r="Q88" i="1" s="1"/>
  <c r="I186" i="6"/>
  <c r="H188" i="5"/>
  <c r="CQ81" i="1"/>
  <c r="P81" i="1" s="1"/>
  <c r="I144" i="6"/>
  <c r="H146" i="5"/>
  <c r="I29" i="1"/>
  <c r="D38" i="7"/>
  <c r="F120" i="6"/>
  <c r="I29" i="10"/>
  <c r="D40" i="9" s="1"/>
  <c r="E122" i="5"/>
  <c r="CR77" i="1"/>
  <c r="Q77" i="1" s="1"/>
  <c r="I115" i="6"/>
  <c r="H117" i="5"/>
  <c r="G22" i="1"/>
  <c r="A8" i="9" s="1"/>
  <c r="A245" i="6"/>
  <c r="AF245" i="6"/>
  <c r="A247" i="5"/>
  <c r="AF247" i="5"/>
  <c r="U226" i="6"/>
  <c r="S226" i="6"/>
  <c r="S228" i="5"/>
  <c r="U228" i="5"/>
  <c r="AB126" i="1"/>
  <c r="CQ89" i="1"/>
  <c r="P89" i="1" s="1"/>
  <c r="N64" i="10"/>
  <c r="K64" i="10"/>
  <c r="I192" i="6"/>
  <c r="X192" i="6" s="1"/>
  <c r="H194" i="5"/>
  <c r="X194" i="5" s="1"/>
  <c r="I188" i="6"/>
  <c r="H190" i="5"/>
  <c r="K58" i="10"/>
  <c r="M58" i="10" s="1"/>
  <c r="N58" i="10"/>
  <c r="CP85" i="1"/>
  <c r="O85" i="1" s="1"/>
  <c r="GO85" i="1" s="1"/>
  <c r="L169" i="6"/>
  <c r="K171" i="5"/>
  <c r="I169" i="6"/>
  <c r="H171" i="5"/>
  <c r="AD84" i="1"/>
  <c r="I161" i="6"/>
  <c r="R161" i="6" s="1"/>
  <c r="H163" i="5"/>
  <c r="R163" i="5" s="1"/>
  <c r="CP83" i="1"/>
  <c r="O83" i="1" s="1"/>
  <c r="K49" i="10"/>
  <c r="M49" i="10" s="1"/>
  <c r="N49" i="10"/>
  <c r="I156" i="6"/>
  <c r="W156" i="6" s="1"/>
  <c r="H158" i="5"/>
  <c r="W158" i="5" s="1"/>
  <c r="L152" i="6"/>
  <c r="K154" i="5"/>
  <c r="CT78" i="1"/>
  <c r="S120" i="6"/>
  <c r="U120" i="6"/>
  <c r="S122" i="5"/>
  <c r="U122" i="5"/>
  <c r="BZ92" i="1"/>
  <c r="BZ75" i="1" s="1"/>
  <c r="U77" i="1"/>
  <c r="I116" i="6"/>
  <c r="H118" i="5"/>
  <c r="BB44" i="1"/>
  <c r="T42" i="1"/>
  <c r="K26" i="10"/>
  <c r="N26" i="10"/>
  <c r="I105" i="6"/>
  <c r="W105" i="6" s="1"/>
  <c r="H107" i="5"/>
  <c r="W107" i="5" s="1"/>
  <c r="P41" i="1"/>
  <c r="L91" i="6"/>
  <c r="K93" i="5"/>
  <c r="M96" i="6"/>
  <c r="Q96" i="6" s="1"/>
  <c r="M95" i="6"/>
  <c r="L98" i="5"/>
  <c r="Q98" i="5" s="1"/>
  <c r="L97" i="5"/>
  <c r="I24" i="10"/>
  <c r="D19" i="9" s="1"/>
  <c r="D29" i="8"/>
  <c r="D33" i="7"/>
  <c r="F90" i="6"/>
  <c r="E92" i="5"/>
  <c r="N22" i="10"/>
  <c r="K22" i="10"/>
  <c r="M22" i="10" s="1"/>
  <c r="I81" i="6"/>
  <c r="W81" i="6" s="1"/>
  <c r="H83" i="5"/>
  <c r="W83" i="5" s="1"/>
  <c r="I22" i="10"/>
  <c r="D16" i="9" s="1"/>
  <c r="D31" i="7"/>
  <c r="E83" i="5"/>
  <c r="F81" i="6"/>
  <c r="S80" i="6"/>
  <c r="U80" i="6"/>
  <c r="S82" i="5"/>
  <c r="U82" i="5"/>
  <c r="V37" i="1"/>
  <c r="I21" i="10"/>
  <c r="D30" i="7"/>
  <c r="F80" i="6"/>
  <c r="E82" i="5"/>
  <c r="I76" i="6"/>
  <c r="H78" i="5"/>
  <c r="I13" i="10"/>
  <c r="D24" i="9" s="1"/>
  <c r="D28" i="7"/>
  <c r="F70" i="6"/>
  <c r="E72" i="5"/>
  <c r="S34" i="1"/>
  <c r="CY34" i="1" s="1"/>
  <c r="X34" i="1" s="1"/>
  <c r="D27" i="7"/>
  <c r="F69" i="6"/>
  <c r="E71" i="5"/>
  <c r="I64" i="6"/>
  <c r="U63" i="6"/>
  <c r="S63" i="6"/>
  <c r="H66" i="5"/>
  <c r="U65" i="5"/>
  <c r="H69" i="5" s="1"/>
  <c r="S65" i="5"/>
  <c r="CT32" i="1"/>
  <c r="U56" i="6"/>
  <c r="I60" i="6" s="1"/>
  <c r="S56" i="6"/>
  <c r="I59" i="6" s="1"/>
  <c r="U58" i="5"/>
  <c r="H62" i="5" s="1"/>
  <c r="S58" i="5"/>
  <c r="H61" i="5" s="1"/>
  <c r="I57" i="6"/>
  <c r="H59" i="5"/>
  <c r="CS30" i="1"/>
  <c r="D21" i="8"/>
  <c r="D21" i="7"/>
  <c r="F37" i="6"/>
  <c r="E39" i="5"/>
  <c r="O59" i="10"/>
  <c r="M59" i="10"/>
  <c r="R63" i="10"/>
  <c r="T63" i="10"/>
  <c r="T57" i="10"/>
  <c r="R57" i="10"/>
  <c r="R50" i="10"/>
  <c r="T50" i="10"/>
  <c r="O53" i="10"/>
  <c r="M53" i="10"/>
  <c r="M46" i="10"/>
  <c r="O46" i="10"/>
  <c r="O41" i="10"/>
  <c r="M41" i="10"/>
  <c r="R39" i="10"/>
  <c r="T39" i="10"/>
  <c r="O28" i="10"/>
  <c r="F46" i="9" s="1"/>
  <c r="M28" i="10"/>
  <c r="O25" i="10"/>
  <c r="F20" i="9" s="1"/>
  <c r="M25" i="10"/>
  <c r="R23" i="10"/>
  <c r="T23" i="10"/>
  <c r="M15" i="10"/>
  <c r="O15" i="10"/>
  <c r="R16" i="10"/>
  <c r="T16" i="10"/>
  <c r="O17" i="10"/>
  <c r="F17" i="9" s="1"/>
  <c r="M17" i="10"/>
  <c r="R18" i="10"/>
  <c r="T18" i="10"/>
  <c r="T12" i="10"/>
  <c r="R12" i="10"/>
  <c r="M8" i="10"/>
  <c r="O8" i="10"/>
  <c r="F23" i="9" s="1"/>
  <c r="G18" i="1"/>
  <c r="AF249" i="6"/>
  <c r="A3" i="9"/>
  <c r="A249" i="6"/>
  <c r="AF251" i="5"/>
  <c r="A251" i="5"/>
  <c r="AH199" i="1"/>
  <c r="AH194" i="1" s="1"/>
  <c r="M237" i="6"/>
  <c r="Q237" i="6" s="1"/>
  <c r="L239" i="5"/>
  <c r="Q239" i="5" s="1"/>
  <c r="U236" i="6"/>
  <c r="S236" i="6"/>
  <c r="U238" i="5"/>
  <c r="S238" i="5"/>
  <c r="CS196" i="1"/>
  <c r="R196" i="1" s="1"/>
  <c r="S70" i="10"/>
  <c r="T70" i="10" s="1"/>
  <c r="P70" i="10"/>
  <c r="R70" i="10" s="1"/>
  <c r="AH163" i="1"/>
  <c r="M227" i="6"/>
  <c r="Q227" i="6" s="1"/>
  <c r="M229" i="6" s="1"/>
  <c r="L229" i="5"/>
  <c r="Q229" i="5" s="1"/>
  <c r="L231" i="5" s="1"/>
  <c r="M191" i="6"/>
  <c r="L195" i="5"/>
  <c r="Q195" i="5" s="1"/>
  <c r="M193" i="6"/>
  <c r="Q193" i="6" s="1"/>
  <c r="L193" i="5"/>
  <c r="L188" i="6"/>
  <c r="K190" i="5"/>
  <c r="AD87" i="1"/>
  <c r="I182" i="6" s="1"/>
  <c r="X182" i="6" s="1"/>
  <c r="P58" i="10"/>
  <c r="R58" i="10" s="1"/>
  <c r="S58" i="10"/>
  <c r="AD86" i="1"/>
  <c r="I177" i="6"/>
  <c r="R177" i="6" s="1"/>
  <c r="H179" i="5"/>
  <c r="R179" i="5" s="1"/>
  <c r="M172" i="6"/>
  <c r="M173" i="6"/>
  <c r="Q173" i="6" s="1"/>
  <c r="L174" i="5"/>
  <c r="L175" i="5"/>
  <c r="Q175" i="5" s="1"/>
  <c r="M166" i="6"/>
  <c r="Q166" i="6" s="1"/>
  <c r="M165" i="6"/>
  <c r="L168" i="5"/>
  <c r="Q168" i="5" s="1"/>
  <c r="L167" i="5"/>
  <c r="CT84" i="1"/>
  <c r="S84" i="1" s="1"/>
  <c r="I159" i="6"/>
  <c r="U158" i="6"/>
  <c r="I164" i="6" s="1"/>
  <c r="S158" i="6"/>
  <c r="I163" i="6" s="1"/>
  <c r="H161" i="5"/>
  <c r="U160" i="5"/>
  <c r="H166" i="5" s="1"/>
  <c r="S160" i="5"/>
  <c r="H165" i="5" s="1"/>
  <c r="U149" i="6"/>
  <c r="I154" i="6" s="1"/>
  <c r="S149" i="6"/>
  <c r="I150" i="6"/>
  <c r="H152" i="5"/>
  <c r="S151" i="5"/>
  <c r="U151" i="5"/>
  <c r="L141" i="6"/>
  <c r="K143" i="5"/>
  <c r="I135" i="6"/>
  <c r="H137" i="5"/>
  <c r="I28" i="10"/>
  <c r="D46" i="9" s="1"/>
  <c r="D37" i="7"/>
  <c r="D32" i="8"/>
  <c r="F113" i="6"/>
  <c r="E115" i="5"/>
  <c r="AP199" i="1"/>
  <c r="CS197" i="1"/>
  <c r="R197" i="1" s="1"/>
  <c r="S71" i="10"/>
  <c r="T71" i="10" s="1"/>
  <c r="P71" i="10"/>
  <c r="R71" i="10" s="1"/>
  <c r="CQ196" i="1"/>
  <c r="P196" i="1" s="1"/>
  <c r="N70" i="10"/>
  <c r="K70" i="10"/>
  <c r="M70" i="10" s="1"/>
  <c r="I234" i="6"/>
  <c r="H236" i="5"/>
  <c r="I178" i="6"/>
  <c r="H180" i="5"/>
  <c r="BC199" i="1"/>
  <c r="F215" i="1" s="1"/>
  <c r="CT197" i="1"/>
  <c r="S197" i="1" s="1"/>
  <c r="AD197" i="1"/>
  <c r="CR197" i="1" s="1"/>
  <c r="Q197" i="1" s="1"/>
  <c r="CP197" i="1" s="1"/>
  <c r="O197" i="1" s="1"/>
  <c r="CJ199" i="1"/>
  <c r="CT196" i="1"/>
  <c r="S196" i="1" s="1"/>
  <c r="AF199" i="1" s="1"/>
  <c r="P68" i="10"/>
  <c r="R68" i="10" s="1"/>
  <c r="S68" i="10"/>
  <c r="T68" i="10" s="1"/>
  <c r="CT126" i="1"/>
  <c r="S126" i="1" s="1"/>
  <c r="S214" i="6"/>
  <c r="I216" i="6" s="1"/>
  <c r="I215" i="6"/>
  <c r="U214" i="6"/>
  <c r="I217" i="6" s="1"/>
  <c r="U216" i="5"/>
  <c r="H219" i="5" s="1"/>
  <c r="S216" i="5"/>
  <c r="H218" i="5" s="1"/>
  <c r="H217" i="5"/>
  <c r="U208" i="6"/>
  <c r="I211" i="6" s="1"/>
  <c r="S208" i="6"/>
  <c r="I210" i="6" s="1"/>
  <c r="I209" i="6"/>
  <c r="H211" i="5"/>
  <c r="U210" i="5"/>
  <c r="H213" i="5" s="1"/>
  <c r="S210" i="5"/>
  <c r="H212" i="5" s="1"/>
  <c r="AB89" i="1"/>
  <c r="U192" i="6"/>
  <c r="S192" i="6"/>
  <c r="U194" i="5"/>
  <c r="S194" i="5"/>
  <c r="I185" i="6"/>
  <c r="U184" i="6"/>
  <c r="I190" i="6" s="1"/>
  <c r="S184" i="6"/>
  <c r="H187" i="5"/>
  <c r="U186" i="5"/>
  <c r="H192" i="5" s="1"/>
  <c r="S186" i="5"/>
  <c r="H191" i="5" s="1"/>
  <c r="CQ87" i="1"/>
  <c r="P87" i="1" s="1"/>
  <c r="CQ86" i="1"/>
  <c r="P86" i="1" s="1"/>
  <c r="AB86" i="1"/>
  <c r="U167" i="6"/>
  <c r="I171" i="6" s="1"/>
  <c r="S167" i="6"/>
  <c r="I170" i="6" s="1"/>
  <c r="I168" i="6"/>
  <c r="H170" i="5"/>
  <c r="U169" i="5"/>
  <c r="H173" i="5" s="1"/>
  <c r="S169" i="5"/>
  <c r="H172" i="5" s="1"/>
  <c r="CS84" i="1"/>
  <c r="R84" i="1" s="1"/>
  <c r="I162" i="6"/>
  <c r="H164" i="5"/>
  <c r="U156" i="6"/>
  <c r="S156" i="6"/>
  <c r="U158" i="5"/>
  <c r="S158" i="5"/>
  <c r="M157" i="6"/>
  <c r="Q157" i="6" s="1"/>
  <c r="M155" i="6"/>
  <c r="L157" i="5"/>
  <c r="L159" i="5"/>
  <c r="Q159" i="5" s="1"/>
  <c r="AD82" i="1"/>
  <c r="I141" i="6"/>
  <c r="U140" i="6"/>
  <c r="I146" i="6" s="1"/>
  <c r="S140" i="6"/>
  <c r="I145" i="6" s="1"/>
  <c r="U142" i="5"/>
  <c r="H148" i="5" s="1"/>
  <c r="H143" i="5"/>
  <c r="S142" i="5"/>
  <c r="H147" i="5" s="1"/>
  <c r="CT80" i="1"/>
  <c r="S80" i="1" s="1"/>
  <c r="I132" i="6"/>
  <c r="S131" i="6"/>
  <c r="I136" i="6" s="1"/>
  <c r="U131" i="6"/>
  <c r="I137" i="6" s="1"/>
  <c r="S133" i="5"/>
  <c r="H138" i="5" s="1"/>
  <c r="H134" i="5"/>
  <c r="U133" i="5"/>
  <c r="H139" i="5" s="1"/>
  <c r="AD78" i="1"/>
  <c r="I120" i="6" s="1"/>
  <c r="X120" i="6" s="1"/>
  <c r="P29" i="10"/>
  <c r="R29" i="10" s="1"/>
  <c r="S29" i="10"/>
  <c r="T29" i="10" s="1"/>
  <c r="BY92" i="1"/>
  <c r="BY75" i="1" s="1"/>
  <c r="CS77" i="1"/>
  <c r="R77" i="1" s="1"/>
  <c r="W77" i="1"/>
  <c r="G26" i="1"/>
  <c r="A9" i="9" s="1"/>
  <c r="A108" i="6"/>
  <c r="A110" i="5"/>
  <c r="S105" i="6"/>
  <c r="U105" i="6"/>
  <c r="U107" i="5"/>
  <c r="CT41" i="1"/>
  <c r="S41" i="1" s="1"/>
  <c r="I98" i="6"/>
  <c r="U97" i="6"/>
  <c r="I103" i="6" s="1"/>
  <c r="S97" i="6"/>
  <c r="U99" i="5"/>
  <c r="S99" i="5"/>
  <c r="H100" i="5"/>
  <c r="I42" i="1"/>
  <c r="U42" i="1" s="1"/>
  <c r="I25" i="10"/>
  <c r="D20" i="9" s="1"/>
  <c r="F97" i="6"/>
  <c r="D30" i="8"/>
  <c r="D34" i="7"/>
  <c r="E99" i="5"/>
  <c r="CP40" i="1"/>
  <c r="O40" i="1" s="1"/>
  <c r="L92" i="6"/>
  <c r="K94" i="5"/>
  <c r="I92" i="6"/>
  <c r="H94" i="5"/>
  <c r="M89" i="6"/>
  <c r="Q89" i="6" s="1"/>
  <c r="M88" i="6"/>
  <c r="L90" i="5"/>
  <c r="L91" i="5"/>
  <c r="Q91" i="5" s="1"/>
  <c r="CP39" i="1"/>
  <c r="O39" i="1" s="1"/>
  <c r="GM39" i="1" s="1"/>
  <c r="CT38" i="1"/>
  <c r="S38" i="1" s="1"/>
  <c r="S81" i="6"/>
  <c r="U81" i="6"/>
  <c r="S83" i="5"/>
  <c r="U83" i="5"/>
  <c r="AD37" i="1"/>
  <c r="CR37" i="1" s="1"/>
  <c r="Q37" i="1" s="1"/>
  <c r="S21" i="10"/>
  <c r="T21" i="10" s="1"/>
  <c r="P21" i="10"/>
  <c r="R21" i="10" s="1"/>
  <c r="U72" i="6"/>
  <c r="I73" i="6"/>
  <c r="S72" i="6"/>
  <c r="I77" i="6" s="1"/>
  <c r="S74" i="5"/>
  <c r="H79" i="5" s="1"/>
  <c r="U74" i="5"/>
  <c r="H75" i="5"/>
  <c r="CT35" i="1"/>
  <c r="S35" i="1" s="1"/>
  <c r="S70" i="6"/>
  <c r="S72" i="5"/>
  <c r="U72" i="5"/>
  <c r="U70" i="6"/>
  <c r="I10" i="10"/>
  <c r="D15" i="9" s="1"/>
  <c r="I8" i="10"/>
  <c r="D23" i="9" s="1"/>
  <c r="D25" i="8"/>
  <c r="I9" i="10"/>
  <c r="D22" i="9" s="1"/>
  <c r="I11" i="10"/>
  <c r="D13" i="9" s="1"/>
  <c r="D25" i="7"/>
  <c r="F56" i="6"/>
  <c r="E58" i="5"/>
  <c r="CT31" i="1"/>
  <c r="CR30" i="1"/>
  <c r="M41" i="6"/>
  <c r="M42" i="6"/>
  <c r="Q42" i="6" s="1"/>
  <c r="L43" i="5"/>
  <c r="L44" i="5"/>
  <c r="Q44" i="5" s="1"/>
  <c r="T60" i="10"/>
  <c r="R60" i="10"/>
  <c r="O61" i="10"/>
  <c r="M61" i="10"/>
  <c r="R62" i="10"/>
  <c r="T62" i="10"/>
  <c r="O63" i="10"/>
  <c r="M63" i="10"/>
  <c r="R55" i="10"/>
  <c r="T55" i="10"/>
  <c r="R56" i="10"/>
  <c r="T56" i="10"/>
  <c r="M57" i="10"/>
  <c r="O57" i="10"/>
  <c r="O54" i="10"/>
  <c r="M54" i="10"/>
  <c r="O50" i="10"/>
  <c r="M50" i="10"/>
  <c r="O51" i="10"/>
  <c r="F44" i="9" s="1"/>
  <c r="M51" i="10"/>
  <c r="R52" i="10"/>
  <c r="T52" i="10"/>
  <c r="M44" i="10"/>
  <c r="O44" i="10"/>
  <c r="R45" i="10"/>
  <c r="T45" i="10"/>
  <c r="R48" i="10"/>
  <c r="T48" i="10"/>
  <c r="R40" i="10"/>
  <c r="T40" i="10"/>
  <c r="R43" i="10"/>
  <c r="T43" i="10"/>
  <c r="T36" i="10"/>
  <c r="R36" i="10"/>
  <c r="O37" i="10"/>
  <c r="F42" i="9" s="1"/>
  <c r="M37" i="10"/>
  <c r="T38" i="10"/>
  <c r="R38" i="10"/>
  <c r="O39" i="10"/>
  <c r="M39" i="10"/>
  <c r="R24" i="10"/>
  <c r="T24" i="10"/>
  <c r="R14" i="10"/>
  <c r="T14" i="10"/>
  <c r="O16" i="10"/>
  <c r="F18" i="9" s="1"/>
  <c r="M16" i="10"/>
  <c r="R20" i="10"/>
  <c r="T20" i="10"/>
  <c r="R11" i="10"/>
  <c r="T11" i="10"/>
  <c r="AJ194" i="1"/>
  <c r="BZ159" i="1"/>
  <c r="AQ163" i="1"/>
  <c r="CI163" i="1"/>
  <c r="BA163" i="1"/>
  <c r="CJ159" i="1"/>
  <c r="AF163" i="1"/>
  <c r="CY161" i="1"/>
  <c r="X161" i="1" s="1"/>
  <c r="AH159" i="1"/>
  <c r="U163" i="1"/>
  <c r="CG123" i="1"/>
  <c r="AX128" i="1"/>
  <c r="CZ89" i="1"/>
  <c r="Y89" i="1" s="1"/>
  <c r="CY89" i="1"/>
  <c r="X89" i="1" s="1"/>
  <c r="CP88" i="1"/>
  <c r="O88" i="1" s="1"/>
  <c r="AG194" i="1"/>
  <c r="T199" i="1"/>
  <c r="AC199" i="1"/>
  <c r="CD159" i="1"/>
  <c r="AU163" i="1"/>
  <c r="AJ159" i="1"/>
  <c r="W163" i="1"/>
  <c r="CB123" i="1"/>
  <c r="AS128" i="1"/>
  <c r="AJ123" i="1"/>
  <c r="W128" i="1"/>
  <c r="GM83" i="1"/>
  <c r="CJ194" i="1"/>
  <c r="BA199" i="1"/>
  <c r="CZ196" i="1"/>
  <c r="Y196" i="1" s="1"/>
  <c r="CY196" i="1"/>
  <c r="X196" i="1" s="1"/>
  <c r="CY126" i="1"/>
  <c r="X126" i="1" s="1"/>
  <c r="CZ126" i="1"/>
  <c r="Y126" i="1" s="1"/>
  <c r="CP126" i="1"/>
  <c r="O126" i="1" s="1"/>
  <c r="AO163" i="1"/>
  <c r="CG163" i="1"/>
  <c r="AP159" i="1"/>
  <c r="F172" i="1"/>
  <c r="CY125" i="1"/>
  <c r="X125" i="1" s="1"/>
  <c r="CZ125" i="1"/>
  <c r="Y125" i="1" s="1"/>
  <c r="CR81" i="1"/>
  <c r="Q81" i="1" s="1"/>
  <c r="AB81" i="1"/>
  <c r="CQ33" i="1"/>
  <c r="P33" i="1" s="1"/>
  <c r="AQ199" i="1"/>
  <c r="BC194" i="1"/>
  <c r="V163" i="1"/>
  <c r="CQ161" i="1"/>
  <c r="P161" i="1" s="1"/>
  <c r="BX159" i="1"/>
  <c r="BX123" i="1"/>
  <c r="AO128" i="1"/>
  <c r="AF128" i="1"/>
  <c r="CJ128" i="1"/>
  <c r="BC75" i="1"/>
  <c r="F108" i="1"/>
  <c r="CD92" i="1"/>
  <c r="CZ33" i="1"/>
  <c r="Y33" i="1" s="1"/>
  <c r="CY33" i="1"/>
  <c r="X33" i="1" s="1"/>
  <c r="I31" i="1"/>
  <c r="I54" i="6" s="1"/>
  <c r="AZ199" i="1"/>
  <c r="AU199" i="1"/>
  <c r="V199" i="1"/>
  <c r="AD196" i="1"/>
  <c r="CR196" i="1" s="1"/>
  <c r="Q196" i="1" s="1"/>
  <c r="CL159" i="1"/>
  <c r="BC163" i="1"/>
  <c r="T163" i="1"/>
  <c r="BB128" i="1"/>
  <c r="V128" i="1"/>
  <c r="CI128" i="1"/>
  <c r="AQ92" i="1"/>
  <c r="CD44" i="1"/>
  <c r="CS161" i="1"/>
  <c r="R161" i="1" s="1"/>
  <c r="AE163" i="1" s="1"/>
  <c r="AD161" i="1"/>
  <c r="CR161" i="1" s="1"/>
  <c r="Q161" i="1" s="1"/>
  <c r="AD163" i="1" s="1"/>
  <c r="AQ128" i="1"/>
  <c r="BZ123" i="1"/>
  <c r="AH128" i="1"/>
  <c r="AC128" i="1"/>
  <c r="CQ79" i="1"/>
  <c r="AB79" i="1"/>
  <c r="AB42" i="1"/>
  <c r="CQ42" i="1"/>
  <c r="P42" i="1" s="1"/>
  <c r="AB197" i="1"/>
  <c r="BC128" i="1"/>
  <c r="CL123" i="1"/>
  <c r="AB90" i="1"/>
  <c r="CQ90" i="1"/>
  <c r="CY81" i="1"/>
  <c r="X81" i="1" s="1"/>
  <c r="CZ81" i="1"/>
  <c r="Y81" i="1" s="1"/>
  <c r="BX194" i="1"/>
  <c r="AO199" i="1"/>
  <c r="CG199" i="1"/>
  <c r="AB196" i="1"/>
  <c r="F176" i="1"/>
  <c r="CS126" i="1"/>
  <c r="R126" i="1" s="1"/>
  <c r="AE128" i="1" s="1"/>
  <c r="AD125" i="1"/>
  <c r="CR125" i="1" s="1"/>
  <c r="Q125" i="1" s="1"/>
  <c r="AD128" i="1" s="1"/>
  <c r="CC123" i="1"/>
  <c r="AB88" i="1"/>
  <c r="V78" i="1"/>
  <c r="CR78" i="1"/>
  <c r="Q78" i="1" s="1"/>
  <c r="AB78" i="1"/>
  <c r="CL26" i="1"/>
  <c r="BC44" i="1"/>
  <c r="CY38" i="1"/>
  <c r="X38" i="1" s="1"/>
  <c r="CZ38" i="1"/>
  <c r="Y38" i="1" s="1"/>
  <c r="BZ44" i="1"/>
  <c r="U89" i="1"/>
  <c r="Q89" i="1"/>
  <c r="CP89" i="1" s="1"/>
  <c r="O89" i="1" s="1"/>
  <c r="P78" i="1"/>
  <c r="CS41" i="1"/>
  <c r="R41" i="1" s="1"/>
  <c r="AD41" i="1"/>
  <c r="CQ37" i="1"/>
  <c r="P37" i="1" s="1"/>
  <c r="CP37" i="1" s="1"/>
  <c r="O37" i="1" s="1"/>
  <c r="AB37" i="1"/>
  <c r="AD35" i="1"/>
  <c r="I70" i="6" s="1"/>
  <c r="X70" i="6" s="1"/>
  <c r="CS35" i="1"/>
  <c r="R35" i="1" s="1"/>
  <c r="AG128" i="1"/>
  <c r="BX75" i="1"/>
  <c r="AO92" i="1"/>
  <c r="CG92" i="1"/>
  <c r="AB87" i="1"/>
  <c r="CR87" i="1"/>
  <c r="Q87" i="1" s="1"/>
  <c r="CP87" i="1" s="1"/>
  <c r="O87" i="1" s="1"/>
  <c r="CS80" i="1"/>
  <c r="R80" i="1" s="1"/>
  <c r="AD80" i="1"/>
  <c r="GX78" i="1"/>
  <c r="U78" i="1"/>
  <c r="CQ77" i="1"/>
  <c r="P77" i="1" s="1"/>
  <c r="AB77" i="1"/>
  <c r="CY39" i="1"/>
  <c r="X39" i="1" s="1"/>
  <c r="CZ39" i="1"/>
  <c r="Y39" i="1" s="1"/>
  <c r="AB39" i="1"/>
  <c r="W31" i="1"/>
  <c r="CY86" i="1"/>
  <c r="X86" i="1" s="1"/>
  <c r="AB85" i="1"/>
  <c r="CY84" i="1"/>
  <c r="X84" i="1" s="1"/>
  <c r="AB83" i="1"/>
  <c r="T78" i="1"/>
  <c r="W78" i="1"/>
  <c r="S78" i="1"/>
  <c r="CX39" i="3"/>
  <c r="CX38" i="3"/>
  <c r="CX41" i="3"/>
  <c r="CX40" i="3"/>
  <c r="CY35" i="1"/>
  <c r="X35" i="1" s="1"/>
  <c r="R29" i="1"/>
  <c r="I90" i="1"/>
  <c r="I197" i="6" s="1"/>
  <c r="AB82" i="1"/>
  <c r="I79" i="1"/>
  <c r="M30" i="10" s="1"/>
  <c r="GX77" i="1"/>
  <c r="T77" i="1"/>
  <c r="GX42" i="1"/>
  <c r="AB40" i="1"/>
  <c r="W37" i="1"/>
  <c r="R37" i="1"/>
  <c r="CY37" i="1" s="1"/>
  <c r="X37" i="1" s="1"/>
  <c r="AB36" i="1"/>
  <c r="CQ36" i="1"/>
  <c r="P36" i="1" s="1"/>
  <c r="W34" i="1"/>
  <c r="T34" i="1"/>
  <c r="CQ34" i="1"/>
  <c r="P34" i="1" s="1"/>
  <c r="AB34" i="1"/>
  <c r="BY44" i="1"/>
  <c r="U29" i="1"/>
  <c r="CG44" i="1"/>
  <c r="AO44" i="1"/>
  <c r="CX31" i="3"/>
  <c r="CX32" i="3"/>
  <c r="GX37" i="1"/>
  <c r="T37" i="1"/>
  <c r="GX34" i="1"/>
  <c r="W32" i="1"/>
  <c r="S32" i="1"/>
  <c r="CQ30" i="1"/>
  <c r="Q30" i="1"/>
  <c r="S29" i="1"/>
  <c r="CX35" i="3"/>
  <c r="CX34" i="3"/>
  <c r="CX33" i="3"/>
  <c r="CX37" i="3"/>
  <c r="CX36" i="3"/>
  <c r="U37" i="1"/>
  <c r="P35" i="1"/>
  <c r="CX7" i="3"/>
  <c r="CX6" i="3"/>
  <c r="CX10" i="3"/>
  <c r="CQ29" i="1"/>
  <c r="P29" i="1" s="1"/>
  <c r="AB29" i="1"/>
  <c r="T29" i="1"/>
  <c r="AB28" i="1"/>
  <c r="L182" i="6" l="1"/>
  <c r="K184" i="5"/>
  <c r="H55" i="6"/>
  <c r="O55" i="6" s="1"/>
  <c r="W55" i="6"/>
  <c r="T69" i="6"/>
  <c r="T71" i="5"/>
  <c r="L81" i="6"/>
  <c r="K83" i="5"/>
  <c r="V105" i="6"/>
  <c r="V107" i="5"/>
  <c r="T70" i="6"/>
  <c r="T72" i="5"/>
  <c r="T83" i="6"/>
  <c r="L86" i="6" s="1"/>
  <c r="T85" i="5"/>
  <c r="K88" i="5" s="1"/>
  <c r="K102" i="5"/>
  <c r="L100" i="6"/>
  <c r="V142" i="5"/>
  <c r="K148" i="5" s="1"/>
  <c r="V140" i="6"/>
  <c r="L146" i="6" s="1"/>
  <c r="L226" i="6"/>
  <c r="K227" i="6" s="1"/>
  <c r="P227" i="6" s="1"/>
  <c r="K229" i="6" s="1"/>
  <c r="K228" i="5"/>
  <c r="J229" i="5" s="1"/>
  <c r="P229" i="5" s="1"/>
  <c r="J231" i="5" s="1"/>
  <c r="L101" i="6"/>
  <c r="K103" i="5"/>
  <c r="S124" i="5"/>
  <c r="H129" i="5" s="1"/>
  <c r="I123" i="6"/>
  <c r="L156" i="6"/>
  <c r="K158" i="5"/>
  <c r="R34" i="10"/>
  <c r="CY28" i="1"/>
  <c r="X28" i="1" s="1"/>
  <c r="L38" i="6"/>
  <c r="K40" i="5"/>
  <c r="CZ28" i="1"/>
  <c r="Y28" i="1" s="1"/>
  <c r="R46" i="5"/>
  <c r="U49" i="6"/>
  <c r="H72" i="5"/>
  <c r="X72" i="5" s="1"/>
  <c r="G91" i="5"/>
  <c r="O91" i="5" s="1"/>
  <c r="W91" i="5"/>
  <c r="R86" i="5"/>
  <c r="T90" i="6"/>
  <c r="L93" i="6" s="1"/>
  <c r="T92" i="5"/>
  <c r="K95" i="5" s="1"/>
  <c r="M104" i="6"/>
  <c r="M106" i="6"/>
  <c r="Q106" i="6" s="1"/>
  <c r="L106" i="5"/>
  <c r="L108" i="5"/>
  <c r="Q108" i="5" s="1"/>
  <c r="L75" i="6"/>
  <c r="K77" i="5"/>
  <c r="L114" i="6"/>
  <c r="K116" i="5"/>
  <c r="R175" i="6"/>
  <c r="E57" i="9"/>
  <c r="O71" i="10"/>
  <c r="F57" i="9" s="1"/>
  <c r="I124" i="6"/>
  <c r="O35" i="10"/>
  <c r="F30" i="9" s="1"/>
  <c r="U30" i="1"/>
  <c r="S30" i="1"/>
  <c r="CP34" i="1"/>
  <c r="O34" i="1" s="1"/>
  <c r="Q79" i="1"/>
  <c r="CY36" i="1"/>
  <c r="X36" i="1" s="1"/>
  <c r="I133" i="6"/>
  <c r="H135" i="5"/>
  <c r="CZ34" i="1"/>
  <c r="Y34" i="1" s="1"/>
  <c r="R90" i="1"/>
  <c r="T81" i="6"/>
  <c r="T83" i="5"/>
  <c r="AP92" i="1"/>
  <c r="T140" i="6"/>
  <c r="L145" i="6" s="1"/>
  <c r="T142" i="5"/>
  <c r="K147" i="5" s="1"/>
  <c r="W79" i="1"/>
  <c r="GN39" i="1"/>
  <c r="CZ77" i="1"/>
  <c r="Y77" i="1" s="1"/>
  <c r="CX3" i="3"/>
  <c r="AB33" i="1"/>
  <c r="S90" i="1"/>
  <c r="V214" i="6"/>
  <c r="L217" i="6" s="1"/>
  <c r="V216" i="5"/>
  <c r="K219" i="5" s="1"/>
  <c r="AL199" i="1"/>
  <c r="V234" i="6"/>
  <c r="V236" i="5"/>
  <c r="GN83" i="1"/>
  <c r="CB92" i="1" s="1"/>
  <c r="V192" i="6"/>
  <c r="V194" i="5"/>
  <c r="T32" i="10"/>
  <c r="I50" i="6"/>
  <c r="U55" i="5"/>
  <c r="H104" i="5"/>
  <c r="R98" i="6"/>
  <c r="I125" i="6"/>
  <c r="R125" i="6" s="1"/>
  <c r="G175" i="5"/>
  <c r="O175" i="5" s="1"/>
  <c r="R170" i="5"/>
  <c r="X175" i="5"/>
  <c r="R185" i="6"/>
  <c r="G215" i="5"/>
  <c r="O215" i="5" s="1"/>
  <c r="G223" i="5" s="1"/>
  <c r="Z215" i="5"/>
  <c r="G30" i="5" s="1"/>
  <c r="R211" i="5"/>
  <c r="G221" i="5"/>
  <c r="O221" i="5" s="1"/>
  <c r="Z221" i="5"/>
  <c r="R217" i="5"/>
  <c r="Z219" i="6"/>
  <c r="R215" i="6"/>
  <c r="H219" i="6"/>
  <c r="O219" i="6" s="1"/>
  <c r="CY197" i="1"/>
  <c r="X197" i="1" s="1"/>
  <c r="CZ197" i="1"/>
  <c r="Y197" i="1" s="1"/>
  <c r="S196" i="5"/>
  <c r="H200" i="5" s="1"/>
  <c r="S194" i="6"/>
  <c r="I198" i="6" s="1"/>
  <c r="H128" i="5"/>
  <c r="R152" i="5"/>
  <c r="G159" i="5"/>
  <c r="O159" i="5" s="1"/>
  <c r="AE199" i="1"/>
  <c r="M34" i="10"/>
  <c r="O31" i="10"/>
  <c r="F39" i="9" s="1"/>
  <c r="H53" i="5"/>
  <c r="R53" i="5" s="1"/>
  <c r="H62" i="6"/>
  <c r="O62" i="6" s="1"/>
  <c r="W62" i="6"/>
  <c r="R57" i="6"/>
  <c r="G73" i="5"/>
  <c r="O73" i="5" s="1"/>
  <c r="R66" i="5"/>
  <c r="M119" i="6"/>
  <c r="M121" i="6"/>
  <c r="Q121" i="6" s="1"/>
  <c r="L121" i="5"/>
  <c r="L123" i="5"/>
  <c r="Q123" i="5" s="1"/>
  <c r="H125" i="5"/>
  <c r="S122" i="6"/>
  <c r="I127" i="6" s="1"/>
  <c r="H184" i="5"/>
  <c r="X184" i="5" s="1"/>
  <c r="M64" i="10"/>
  <c r="CX2" i="3"/>
  <c r="D22" i="8"/>
  <c r="D22" i="7"/>
  <c r="F43" i="6"/>
  <c r="E45" i="5"/>
  <c r="M32" i="10"/>
  <c r="R38" i="6"/>
  <c r="H42" i="6"/>
  <c r="O42" i="6" s="1"/>
  <c r="W42" i="6"/>
  <c r="S45" i="5"/>
  <c r="H47" i="5" s="1"/>
  <c r="G50" i="5" s="1"/>
  <c r="O50" i="5" s="1"/>
  <c r="H56" i="5"/>
  <c r="Q42" i="1"/>
  <c r="CP42" i="1" s="1"/>
  <c r="O42" i="1" s="1"/>
  <c r="R33" i="10"/>
  <c r="H82" i="5"/>
  <c r="X82" i="5" s="1"/>
  <c r="W98" i="5"/>
  <c r="G98" i="5"/>
  <c r="O98" i="5" s="1"/>
  <c r="R93" i="5"/>
  <c r="V42" i="1"/>
  <c r="I118" i="6"/>
  <c r="H122" i="5"/>
  <c r="X122" i="5" s="1"/>
  <c r="I142" i="6"/>
  <c r="X148" i="6" s="1"/>
  <c r="H144" i="5"/>
  <c r="R177" i="5"/>
  <c r="G185" i="5"/>
  <c r="O185" i="5" s="1"/>
  <c r="L175" i="6"/>
  <c r="K177" i="5"/>
  <c r="CZ86" i="1"/>
  <c r="Y86" i="1" s="1"/>
  <c r="L187" i="6"/>
  <c r="K189" i="5"/>
  <c r="CR90" i="1"/>
  <c r="I196" i="6"/>
  <c r="H198" i="5"/>
  <c r="H227" i="6"/>
  <c r="O227" i="6" s="1"/>
  <c r="H229" i="6" s="1"/>
  <c r="W227" i="6"/>
  <c r="G239" i="5"/>
  <c r="O239" i="5" s="1"/>
  <c r="W239" i="5"/>
  <c r="AT194" i="1"/>
  <c r="F217" i="1"/>
  <c r="Q29" i="1"/>
  <c r="V149" i="6"/>
  <c r="L154" i="6" s="1"/>
  <c r="V151" i="5"/>
  <c r="V167" i="6"/>
  <c r="L171" i="6" s="1"/>
  <c r="V169" i="5"/>
  <c r="K173" i="5" s="1"/>
  <c r="L223" i="5"/>
  <c r="GX29" i="1"/>
  <c r="M47" i="6"/>
  <c r="M48" i="6"/>
  <c r="Q48" i="6" s="1"/>
  <c r="L50" i="5"/>
  <c r="Q50" i="5" s="1"/>
  <c r="L49" i="5"/>
  <c r="CP36" i="1"/>
  <c r="O36" i="1" s="1"/>
  <c r="L76" i="6"/>
  <c r="K78" i="5"/>
  <c r="Q90" i="1"/>
  <c r="I65" i="10"/>
  <c r="D38" i="9" s="1"/>
  <c r="D50" i="7"/>
  <c r="F194" i="6"/>
  <c r="D41" i="8"/>
  <c r="E196" i="5"/>
  <c r="GO84" i="1"/>
  <c r="T158" i="6"/>
  <c r="L163" i="6" s="1"/>
  <c r="T160" i="5"/>
  <c r="K165" i="5" s="1"/>
  <c r="V81" i="6"/>
  <c r="V83" i="5"/>
  <c r="CP33" i="1"/>
  <c r="O33" i="1" s="1"/>
  <c r="L65" i="6"/>
  <c r="K67" i="5"/>
  <c r="AK199" i="1"/>
  <c r="T234" i="6"/>
  <c r="T236" i="5"/>
  <c r="R35" i="10"/>
  <c r="S55" i="5"/>
  <c r="R100" i="5"/>
  <c r="H127" i="5"/>
  <c r="R127" i="5" s="1"/>
  <c r="I195" i="6"/>
  <c r="H155" i="5"/>
  <c r="M33" i="10"/>
  <c r="M26" i="10"/>
  <c r="R65" i="10"/>
  <c r="D23" i="7"/>
  <c r="D23" i="8"/>
  <c r="F49" i="6"/>
  <c r="E51" i="5"/>
  <c r="CX4" i="3"/>
  <c r="R13" i="10"/>
  <c r="R91" i="6"/>
  <c r="H96" i="6"/>
  <c r="O96" i="6" s="1"/>
  <c r="W96" i="6"/>
  <c r="R116" i="5"/>
  <c r="T64" i="10"/>
  <c r="G229" i="5"/>
  <c r="O229" i="5" s="1"/>
  <c r="G231" i="5" s="1"/>
  <c r="W229" i="5"/>
  <c r="AT159" i="1"/>
  <c r="F181" i="1"/>
  <c r="V158" i="5"/>
  <c r="V156" i="6"/>
  <c r="V184" i="6"/>
  <c r="V186" i="5"/>
  <c r="K192" i="5" s="1"/>
  <c r="P30" i="1"/>
  <c r="T80" i="6"/>
  <c r="T82" i="5"/>
  <c r="CZ36" i="1"/>
  <c r="Y36" i="1" s="1"/>
  <c r="L116" i="6"/>
  <c r="K118" i="5"/>
  <c r="K82" i="5"/>
  <c r="L80" i="6"/>
  <c r="T30" i="1"/>
  <c r="AG44" i="1" s="1"/>
  <c r="GM85" i="1"/>
  <c r="CI92" i="1"/>
  <c r="T63" i="6"/>
  <c r="T65" i="5"/>
  <c r="K68" i="5" s="1"/>
  <c r="T79" i="1"/>
  <c r="R73" i="6"/>
  <c r="L98" i="6"/>
  <c r="K100" i="5"/>
  <c r="R143" i="5"/>
  <c r="G150" i="5"/>
  <c r="O150" i="5" s="1"/>
  <c r="X150" i="5"/>
  <c r="R141" i="6"/>
  <c r="CZ84" i="1"/>
  <c r="Y84" i="1" s="1"/>
  <c r="L161" i="6"/>
  <c r="K163" i="5"/>
  <c r="X173" i="6"/>
  <c r="H173" i="6"/>
  <c r="O173" i="6" s="1"/>
  <c r="R168" i="6"/>
  <c r="L178" i="6"/>
  <c r="K180" i="5"/>
  <c r="R187" i="5"/>
  <c r="X195" i="5"/>
  <c r="G195" i="5"/>
  <c r="O195" i="5" s="1"/>
  <c r="H213" i="6"/>
  <c r="O213" i="6" s="1"/>
  <c r="H221" i="6" s="1"/>
  <c r="Z213" i="6"/>
  <c r="R209" i="6"/>
  <c r="U196" i="5"/>
  <c r="H201" i="5" s="1"/>
  <c r="U194" i="6"/>
  <c r="I199" i="6" s="1"/>
  <c r="E56" i="9"/>
  <c r="O70" i="10"/>
  <c r="F56" i="9" s="1"/>
  <c r="E58" i="9" s="1"/>
  <c r="I126" i="6"/>
  <c r="R150" i="6"/>
  <c r="R159" i="6"/>
  <c r="CR86" i="1"/>
  <c r="Q86" i="1" s="1"/>
  <c r="H178" i="5"/>
  <c r="X185" i="5" s="1"/>
  <c r="I176" i="6"/>
  <c r="X183" i="6" s="1"/>
  <c r="O34" i="10"/>
  <c r="F32" i="9" s="1"/>
  <c r="M31" i="10"/>
  <c r="F29" i="9"/>
  <c r="I51" i="6"/>
  <c r="R51" i="6" s="1"/>
  <c r="I66" i="6"/>
  <c r="X71" i="6" s="1"/>
  <c r="BB26" i="1"/>
  <c r="F57" i="1"/>
  <c r="U124" i="5"/>
  <c r="H130" i="5" s="1"/>
  <c r="E31" i="9"/>
  <c r="O49" i="10"/>
  <c r="F31" i="9" s="1"/>
  <c r="O64" i="10"/>
  <c r="O32" i="10"/>
  <c r="F35" i="9" s="1"/>
  <c r="S43" i="6"/>
  <c r="I45" i="6" s="1"/>
  <c r="U43" i="6"/>
  <c r="I46" i="6" s="1"/>
  <c r="U51" i="5"/>
  <c r="E24" i="9"/>
  <c r="O13" i="10"/>
  <c r="F24" i="9" s="1"/>
  <c r="L74" i="6"/>
  <c r="K76" i="5"/>
  <c r="H89" i="6"/>
  <c r="O89" i="6" s="1"/>
  <c r="W89" i="6"/>
  <c r="R84" i="6"/>
  <c r="T33" i="10"/>
  <c r="K60" i="5"/>
  <c r="L58" i="6"/>
  <c r="I80" i="6"/>
  <c r="X80" i="6" s="1"/>
  <c r="T22" i="10"/>
  <c r="T26" i="10"/>
  <c r="H119" i="5"/>
  <c r="G123" i="5" s="1"/>
  <c r="O123" i="5" s="1"/>
  <c r="I117" i="6"/>
  <c r="CP84" i="1"/>
  <c r="O84" i="1" s="1"/>
  <c r="L162" i="6"/>
  <c r="K164" i="5"/>
  <c r="V182" i="6"/>
  <c r="V184" i="5"/>
  <c r="F105" i="1"/>
  <c r="BB75" i="1"/>
  <c r="O68" i="10"/>
  <c r="F52" i="9" s="1"/>
  <c r="E53" i="9" s="1"/>
  <c r="E52" i="9"/>
  <c r="H237" i="6"/>
  <c r="O237" i="6" s="1"/>
  <c r="W237" i="6"/>
  <c r="T149" i="6"/>
  <c r="T151" i="5"/>
  <c r="T167" i="6"/>
  <c r="L170" i="6" s="1"/>
  <c r="K173" i="6" s="1"/>
  <c r="P173" i="6" s="1"/>
  <c r="T169" i="5"/>
  <c r="K172" i="5" s="1"/>
  <c r="CY87" i="1"/>
  <c r="X87" i="1" s="1"/>
  <c r="V29" i="1"/>
  <c r="L50" i="6"/>
  <c r="K52" i="6" s="1"/>
  <c r="P52" i="6" s="1"/>
  <c r="K52" i="5"/>
  <c r="J54" i="5" s="1"/>
  <c r="P54" i="5" s="1"/>
  <c r="I35" i="10"/>
  <c r="D30" i="9" s="1"/>
  <c r="I33" i="10"/>
  <c r="D34" i="9" s="1"/>
  <c r="I31" i="10"/>
  <c r="D39" i="9" s="1"/>
  <c r="D39" i="7"/>
  <c r="I32" i="10"/>
  <c r="D35" i="9" s="1"/>
  <c r="I30" i="10"/>
  <c r="D47" i="9" s="1"/>
  <c r="I34" i="10"/>
  <c r="D32" i="9" s="1"/>
  <c r="F122" i="6"/>
  <c r="D33" i="8"/>
  <c r="E124" i="5"/>
  <c r="T31" i="1"/>
  <c r="D24" i="8"/>
  <c r="D24" i="7"/>
  <c r="F53" i="6"/>
  <c r="E55" i="5"/>
  <c r="CP81" i="1"/>
  <c r="O81" i="1" s="1"/>
  <c r="L142" i="6"/>
  <c r="K148" i="6" s="1"/>
  <c r="P148" i="6" s="1"/>
  <c r="K144" i="5"/>
  <c r="J150" i="5" s="1"/>
  <c r="P150" i="5" s="1"/>
  <c r="T192" i="6"/>
  <c r="T194" i="5"/>
  <c r="R30" i="10"/>
  <c r="L132" i="6"/>
  <c r="K134" i="5"/>
  <c r="H235" i="6"/>
  <c r="O235" i="6" s="1"/>
  <c r="W235" i="6"/>
  <c r="O65" i="10"/>
  <c r="F38" i="9" s="1"/>
  <c r="G64" i="5"/>
  <c r="O64" i="5" s="1"/>
  <c r="W64" i="5"/>
  <c r="R59" i="5"/>
  <c r="H71" i="6"/>
  <c r="O71" i="6" s="1"/>
  <c r="R64" i="6"/>
  <c r="L115" i="6"/>
  <c r="K117" i="5"/>
  <c r="L144" i="6"/>
  <c r="K146" i="5"/>
  <c r="H199" i="5"/>
  <c r="T31" i="10"/>
  <c r="CP28" i="1"/>
  <c r="O28" i="1" s="1"/>
  <c r="V31" i="1"/>
  <c r="U79" i="1"/>
  <c r="R30" i="1"/>
  <c r="T174" i="6"/>
  <c r="T176" i="5"/>
  <c r="CY80" i="1"/>
  <c r="X80" i="1" s="1"/>
  <c r="L134" i="6"/>
  <c r="K136" i="5"/>
  <c r="V79" i="1"/>
  <c r="CY42" i="1"/>
  <c r="X42" i="1" s="1"/>
  <c r="P90" i="1"/>
  <c r="CY77" i="1"/>
  <c r="X77" i="1" s="1"/>
  <c r="V210" i="5"/>
  <c r="K213" i="5" s="1"/>
  <c r="J215" i="5" s="1"/>
  <c r="P215" i="5" s="1"/>
  <c r="V208" i="6"/>
  <c r="L211" i="6" s="1"/>
  <c r="T214" i="6"/>
  <c r="L216" i="6" s="1"/>
  <c r="T216" i="5"/>
  <c r="K218" i="5" s="1"/>
  <c r="AK163" i="1"/>
  <c r="AK159" i="1" s="1"/>
  <c r="T226" i="6"/>
  <c r="T228" i="5"/>
  <c r="U199" i="1"/>
  <c r="R32" i="10"/>
  <c r="H52" i="5"/>
  <c r="S53" i="6"/>
  <c r="R75" i="5"/>
  <c r="H105" i="5"/>
  <c r="L44" i="6"/>
  <c r="K46" i="5"/>
  <c r="L57" i="6"/>
  <c r="K59" i="5"/>
  <c r="V30" i="1"/>
  <c r="GX30" i="1"/>
  <c r="V83" i="6"/>
  <c r="L87" i="6" s="1"/>
  <c r="V85" i="5"/>
  <c r="K89" i="5" s="1"/>
  <c r="CZ35" i="1"/>
  <c r="Y35" i="1" s="1"/>
  <c r="I99" i="6"/>
  <c r="H106" i="6" s="1"/>
  <c r="O106" i="6" s="1"/>
  <c r="H101" i="5"/>
  <c r="G108" i="5" s="1"/>
  <c r="O108" i="5" s="1"/>
  <c r="L192" i="6"/>
  <c r="K194" i="5"/>
  <c r="AD199" i="1"/>
  <c r="AD194" i="1" s="1"/>
  <c r="W30" i="1"/>
  <c r="AJ44" i="1" s="1"/>
  <c r="V63" i="6"/>
  <c r="V65" i="5"/>
  <c r="T208" i="6"/>
  <c r="L210" i="6" s="1"/>
  <c r="K213" i="6" s="1"/>
  <c r="P213" i="6" s="1"/>
  <c r="K221" i="6" s="1"/>
  <c r="T210" i="5"/>
  <c r="K212" i="5" s="1"/>
  <c r="T35" i="10"/>
  <c r="T30" i="10"/>
  <c r="U53" i="6"/>
  <c r="H80" i="5"/>
  <c r="X84" i="5" s="1"/>
  <c r="I78" i="6"/>
  <c r="H82" i="6" s="1"/>
  <c r="O82" i="6" s="1"/>
  <c r="I26" i="10"/>
  <c r="D21" i="9" s="1"/>
  <c r="F105" i="6"/>
  <c r="D35" i="7"/>
  <c r="E107" i="5"/>
  <c r="I102" i="6"/>
  <c r="S107" i="5"/>
  <c r="X141" i="5"/>
  <c r="R134" i="5"/>
  <c r="G141" i="5"/>
  <c r="O141" i="5" s="1"/>
  <c r="R132" i="6"/>
  <c r="X139" i="6"/>
  <c r="H139" i="6"/>
  <c r="O139" i="6" s="1"/>
  <c r="I151" i="6"/>
  <c r="X157" i="6" s="1"/>
  <c r="H153" i="5"/>
  <c r="X159" i="5" s="1"/>
  <c r="CR82" i="1"/>
  <c r="Q82" i="1" s="1"/>
  <c r="I189" i="6"/>
  <c r="H193" i="6" s="1"/>
  <c r="O193" i="6" s="1"/>
  <c r="K217" i="5"/>
  <c r="L215" i="6"/>
  <c r="K219" i="6" s="1"/>
  <c r="P219" i="6" s="1"/>
  <c r="H197" i="5"/>
  <c r="G237" i="5"/>
  <c r="O237" i="5" s="1"/>
  <c r="G241" i="5" s="1"/>
  <c r="W237" i="5"/>
  <c r="L234" i="6"/>
  <c r="K235" i="6" s="1"/>
  <c r="P235" i="6" s="1"/>
  <c r="K239" i="6" s="1"/>
  <c r="K236" i="5"/>
  <c r="J237" i="5" s="1"/>
  <c r="P237" i="5" s="1"/>
  <c r="J241" i="5" s="1"/>
  <c r="F208" i="1"/>
  <c r="AP194" i="1"/>
  <c r="H156" i="5"/>
  <c r="I153" i="6"/>
  <c r="H157" i="6" s="1"/>
  <c r="O157" i="6" s="1"/>
  <c r="R161" i="5"/>
  <c r="L159" i="6"/>
  <c r="K161" i="5"/>
  <c r="T58" i="10"/>
  <c r="O33" i="10"/>
  <c r="F34" i="9" s="1"/>
  <c r="F36" i="9"/>
  <c r="M65" i="10"/>
  <c r="H68" i="5"/>
  <c r="X73" i="5" s="1"/>
  <c r="I67" i="6"/>
  <c r="E16" i="9"/>
  <c r="O22" i="10"/>
  <c r="F16" i="9" s="1"/>
  <c r="E26" i="9" s="1"/>
  <c r="CZ40" i="1"/>
  <c r="Y40" i="1" s="1"/>
  <c r="O26" i="10"/>
  <c r="F21" i="9" s="1"/>
  <c r="E21" i="9"/>
  <c r="U122" i="6"/>
  <c r="I128" i="6" s="1"/>
  <c r="CR84" i="1"/>
  <c r="Q84" i="1" s="1"/>
  <c r="I160" i="6"/>
  <c r="X166" i="6" s="1"/>
  <c r="H162" i="5"/>
  <c r="X168" i="5" s="1"/>
  <c r="E41" i="9"/>
  <c r="O58" i="10"/>
  <c r="F41" i="9" s="1"/>
  <c r="L186" i="6"/>
  <c r="K188" i="5"/>
  <c r="T34" i="10"/>
  <c r="R31" i="10"/>
  <c r="F45" i="9"/>
  <c r="T65" i="10"/>
  <c r="G44" i="5"/>
  <c r="O44" i="5" s="1"/>
  <c r="R40" i="5"/>
  <c r="W44" i="5"/>
  <c r="U45" i="5"/>
  <c r="H48" i="5" s="1"/>
  <c r="W50" i="5" s="1"/>
  <c r="I44" i="6"/>
  <c r="S49" i="6"/>
  <c r="M13" i="10"/>
  <c r="L84" i="6"/>
  <c r="K86" i="5"/>
  <c r="T13" i="10"/>
  <c r="M21" i="10"/>
  <c r="L85" i="6"/>
  <c r="K87" i="5"/>
  <c r="R26" i="10"/>
  <c r="H120" i="5"/>
  <c r="H121" i="6"/>
  <c r="O121" i="6" s="1"/>
  <c r="R114" i="6"/>
  <c r="X121" i="6"/>
  <c r="O29" i="10"/>
  <c r="F40" i="9" s="1"/>
  <c r="E40" i="9"/>
  <c r="I180" i="6"/>
  <c r="R64" i="10"/>
  <c r="BY123" i="1"/>
  <c r="AP128" i="1"/>
  <c r="L241" i="5"/>
  <c r="J175" i="5"/>
  <c r="P175" i="5" s="1"/>
  <c r="H126" i="5"/>
  <c r="W29" i="1"/>
  <c r="T156" i="6"/>
  <c r="T158" i="5"/>
  <c r="M221" i="6"/>
  <c r="M35" i="10"/>
  <c r="CY88" i="1"/>
  <c r="X88" i="1" s="1"/>
  <c r="GO88" i="1" s="1"/>
  <c r="O30" i="10"/>
  <c r="F47" i="9" s="1"/>
  <c r="GO89" i="1"/>
  <c r="GM89" i="1"/>
  <c r="CY32" i="1"/>
  <c r="X32" i="1" s="1"/>
  <c r="CZ32" i="1"/>
  <c r="Y32" i="1" s="1"/>
  <c r="CG26" i="1"/>
  <c r="AX44" i="1"/>
  <c r="CY78" i="1"/>
  <c r="X78" i="1" s="1"/>
  <c r="CZ78" i="1"/>
  <c r="Y78" i="1" s="1"/>
  <c r="GM38" i="1"/>
  <c r="GN38" i="1"/>
  <c r="AD159" i="1"/>
  <c r="Q163" i="1"/>
  <c r="V123" i="1"/>
  <c r="F151" i="1"/>
  <c r="AZ194" i="1"/>
  <c r="F210" i="1"/>
  <c r="CZ90" i="1"/>
  <c r="Y90" i="1" s="1"/>
  <c r="CY90" i="1"/>
  <c r="X90" i="1" s="1"/>
  <c r="Y199" i="1"/>
  <c r="AL194" i="1"/>
  <c r="X163" i="1"/>
  <c r="F183" i="1"/>
  <c r="BA159" i="1"/>
  <c r="CP77" i="1"/>
  <c r="O77" i="1" s="1"/>
  <c r="Q128" i="1"/>
  <c r="AD123" i="1"/>
  <c r="CG194" i="1"/>
  <c r="AX199" i="1"/>
  <c r="AE159" i="1"/>
  <c r="R163" i="1"/>
  <c r="CD75" i="1"/>
  <c r="AU92" i="1"/>
  <c r="AF123" i="1"/>
  <c r="S128" i="1"/>
  <c r="CP161" i="1"/>
  <c r="O161" i="1" s="1"/>
  <c r="AC163" i="1"/>
  <c r="AQ194" i="1"/>
  <c r="F209" i="1"/>
  <c r="AL128" i="1"/>
  <c r="AX163" i="1"/>
  <c r="CG159" i="1"/>
  <c r="F219" i="1"/>
  <c r="BA194" i="1"/>
  <c r="W123" i="1"/>
  <c r="F152" i="1"/>
  <c r="F187" i="1"/>
  <c r="W159" i="1"/>
  <c r="AC194" i="1"/>
  <c r="CF199" i="1"/>
  <c r="CE199" i="1"/>
  <c r="P199" i="1"/>
  <c r="CH199" i="1"/>
  <c r="CZ161" i="1"/>
  <c r="Y161" i="1" s="1"/>
  <c r="U194" i="1"/>
  <c r="F221" i="1"/>
  <c r="CZ30" i="1"/>
  <c r="Y30" i="1" s="1"/>
  <c r="CY30" i="1"/>
  <c r="X30" i="1" s="1"/>
  <c r="BY26" i="1"/>
  <c r="CI44" i="1"/>
  <c r="AP44" i="1"/>
  <c r="CZ37" i="1"/>
  <c r="Y37" i="1" s="1"/>
  <c r="AB41" i="1"/>
  <c r="CR41" i="1"/>
  <c r="Q41" i="1" s="1"/>
  <c r="CZ80" i="1"/>
  <c r="Y80" i="1" s="1"/>
  <c r="V90" i="1"/>
  <c r="AI92" i="1" s="1"/>
  <c r="BZ26" i="1"/>
  <c r="AQ44" i="1"/>
  <c r="AE123" i="1"/>
  <c r="R128" i="1"/>
  <c r="F203" i="1"/>
  <c r="AO194" i="1"/>
  <c r="AP75" i="1"/>
  <c r="F101" i="1"/>
  <c r="AQ75" i="1"/>
  <c r="F102" i="1"/>
  <c r="T159" i="1"/>
  <c r="F184" i="1"/>
  <c r="V194" i="1"/>
  <c r="F222" i="1"/>
  <c r="F132" i="1"/>
  <c r="AO123" i="1"/>
  <c r="AB161" i="1"/>
  <c r="GO33" i="1"/>
  <c r="GM33" i="1"/>
  <c r="AK128" i="1"/>
  <c r="F167" i="1"/>
  <c r="AO159" i="1"/>
  <c r="AF194" i="1"/>
  <c r="S199" i="1"/>
  <c r="CP196" i="1"/>
  <c r="O196" i="1" s="1"/>
  <c r="U159" i="1"/>
  <c r="F185" i="1"/>
  <c r="S163" i="1"/>
  <c r="AF159" i="1"/>
  <c r="W194" i="1"/>
  <c r="F223" i="1"/>
  <c r="CY29" i="1"/>
  <c r="X29" i="1" s="1"/>
  <c r="CZ29" i="1"/>
  <c r="Y29" i="1" s="1"/>
  <c r="GM34" i="1"/>
  <c r="GO34" i="1"/>
  <c r="AB80" i="1"/>
  <c r="CR80" i="1"/>
  <c r="Q80" i="1" s="1"/>
  <c r="CG75" i="1"/>
  <c r="AX92" i="1"/>
  <c r="CP78" i="1"/>
  <c r="O78" i="1" s="1"/>
  <c r="CP90" i="1"/>
  <c r="O90" i="1" s="1"/>
  <c r="CE128" i="1"/>
  <c r="AC123" i="1"/>
  <c r="P128" i="1"/>
  <c r="CH128" i="1"/>
  <c r="CF128" i="1"/>
  <c r="CX5" i="3"/>
  <c r="P31" i="1"/>
  <c r="Q31" i="1"/>
  <c r="CJ123" i="1"/>
  <c r="BA128" i="1"/>
  <c r="CB75" i="1"/>
  <c r="AS92" i="1"/>
  <c r="AX123" i="1"/>
  <c r="F135" i="1"/>
  <c r="AQ159" i="1"/>
  <c r="F173" i="1"/>
  <c r="CP29" i="1"/>
  <c r="O29" i="1" s="1"/>
  <c r="U31" i="1"/>
  <c r="AO75" i="1"/>
  <c r="F96" i="1"/>
  <c r="CP32" i="1"/>
  <c r="O32" i="1" s="1"/>
  <c r="BC123" i="1"/>
  <c r="F144" i="1"/>
  <c r="AH123" i="1"/>
  <c r="U128" i="1"/>
  <c r="GM87" i="1"/>
  <c r="GO87" i="1"/>
  <c r="BB123" i="1"/>
  <c r="BB230" i="1"/>
  <c r="F141" i="1"/>
  <c r="GM28" i="1"/>
  <c r="GN28" i="1"/>
  <c r="CP30" i="1"/>
  <c r="O30" i="1" s="1"/>
  <c r="AO26" i="1"/>
  <c r="F48" i="1"/>
  <c r="AO230" i="1"/>
  <c r="R31" i="1"/>
  <c r="AE44" i="1" s="1"/>
  <c r="GO36" i="1"/>
  <c r="GM36" i="1"/>
  <c r="CX43" i="3"/>
  <c r="CX47" i="3"/>
  <c r="CX51" i="3"/>
  <c r="CX42" i="3"/>
  <c r="CX46" i="3"/>
  <c r="CX50" i="3"/>
  <c r="CX45" i="3"/>
  <c r="CX49" i="3"/>
  <c r="CX53" i="3"/>
  <c r="CX44" i="3"/>
  <c r="CX48" i="3"/>
  <c r="CX52" i="3"/>
  <c r="R79" i="1"/>
  <c r="CX115" i="3"/>
  <c r="CX114" i="3"/>
  <c r="W90" i="1"/>
  <c r="AJ92" i="1" s="1"/>
  <c r="U90" i="1"/>
  <c r="CX116" i="3"/>
  <c r="GX90" i="1"/>
  <c r="GX31" i="1"/>
  <c r="CJ44" i="1" s="1"/>
  <c r="GX79" i="1"/>
  <c r="S31" i="1"/>
  <c r="AF44" i="1" s="1"/>
  <c r="AG123" i="1"/>
  <c r="T128" i="1"/>
  <c r="AB35" i="1"/>
  <c r="CR35" i="1"/>
  <c r="Q35" i="1" s="1"/>
  <c r="CP35" i="1" s="1"/>
  <c r="O35" i="1" s="1"/>
  <c r="CZ41" i="1"/>
  <c r="Y41" i="1" s="1"/>
  <c r="CY41" i="1"/>
  <c r="X41" i="1" s="1"/>
  <c r="AB125" i="1"/>
  <c r="BC26" i="1"/>
  <c r="F60" i="1"/>
  <c r="BC230" i="1"/>
  <c r="CI75" i="1"/>
  <c r="AZ92" i="1"/>
  <c r="P79" i="1"/>
  <c r="CP125" i="1"/>
  <c r="O125" i="1" s="1"/>
  <c r="F138" i="1"/>
  <c r="AQ123" i="1"/>
  <c r="CD26" i="1"/>
  <c r="AU44" i="1"/>
  <c r="S79" i="1"/>
  <c r="AF92" i="1" s="1"/>
  <c r="AZ128" i="1"/>
  <c r="CI123" i="1"/>
  <c r="F179" i="1"/>
  <c r="BC159" i="1"/>
  <c r="AU194" i="1"/>
  <c r="F218" i="1"/>
  <c r="V159" i="1"/>
  <c r="F186" i="1"/>
  <c r="GM81" i="1"/>
  <c r="GO81" i="1"/>
  <c r="GM126" i="1"/>
  <c r="GP126" i="1"/>
  <c r="AK194" i="1"/>
  <c r="X199" i="1"/>
  <c r="AS123" i="1"/>
  <c r="F145" i="1"/>
  <c r="AU159" i="1"/>
  <c r="F182" i="1"/>
  <c r="T194" i="1"/>
  <c r="F220" i="1"/>
  <c r="T90" i="1"/>
  <c r="AG92" i="1" s="1"/>
  <c r="CI159" i="1"/>
  <c r="AZ163" i="1"/>
  <c r="AJ26" i="1" l="1"/>
  <c r="W44" i="1"/>
  <c r="L105" i="6"/>
  <c r="K107" i="5"/>
  <c r="GN42" i="1"/>
  <c r="GM42" i="1"/>
  <c r="J195" i="5"/>
  <c r="P195" i="5" s="1"/>
  <c r="T97" i="6"/>
  <c r="T99" i="5"/>
  <c r="V43" i="6"/>
  <c r="L46" i="6" s="1"/>
  <c r="V45" i="5"/>
  <c r="K48" i="5" s="1"/>
  <c r="L70" i="6"/>
  <c r="K72" i="5"/>
  <c r="V131" i="6"/>
  <c r="L137" i="6" s="1"/>
  <c r="V133" i="5"/>
  <c r="K139" i="5" s="1"/>
  <c r="V49" i="6"/>
  <c r="V51" i="5"/>
  <c r="AL163" i="1"/>
  <c r="V226" i="6"/>
  <c r="V228" i="5"/>
  <c r="Q199" i="1"/>
  <c r="F137" i="1"/>
  <c r="AP123" i="1"/>
  <c r="K89" i="6"/>
  <c r="P89" i="6" s="1"/>
  <c r="X203" i="5"/>
  <c r="G28" i="5" s="1"/>
  <c r="R197" i="5"/>
  <c r="G203" i="5"/>
  <c r="O203" i="5" s="1"/>
  <c r="L151" i="6"/>
  <c r="K157" i="6" s="1"/>
  <c r="P157" i="6" s="1"/>
  <c r="K153" i="5"/>
  <c r="CP82" i="1"/>
  <c r="O82" i="1" s="1"/>
  <c r="G84" i="5"/>
  <c r="O84" i="5" s="1"/>
  <c r="K155" i="5"/>
  <c r="L176" i="6"/>
  <c r="K178" i="5"/>
  <c r="G132" i="5"/>
  <c r="O132" i="5" s="1"/>
  <c r="G205" i="5" s="1"/>
  <c r="R125" i="5"/>
  <c r="X132" i="5"/>
  <c r="T236" i="6"/>
  <c r="T238" i="5"/>
  <c r="X193" i="6"/>
  <c r="V69" i="6"/>
  <c r="V71" i="5"/>
  <c r="K69" i="5" s="1"/>
  <c r="J73" i="5" s="1"/>
  <c r="P73" i="5" s="1"/>
  <c r="L124" i="6"/>
  <c r="K126" i="5"/>
  <c r="K42" i="6"/>
  <c r="P42" i="6" s="1"/>
  <c r="M129" i="6"/>
  <c r="M130" i="6"/>
  <c r="Q130" i="6" s="1"/>
  <c r="L132" i="5"/>
  <c r="Q132" i="5" s="1"/>
  <c r="L131" i="5"/>
  <c r="CP79" i="1"/>
  <c r="O79" i="1" s="1"/>
  <c r="K128" i="5"/>
  <c r="L126" i="6"/>
  <c r="CJ92" i="1"/>
  <c r="AH92" i="1"/>
  <c r="AH75" i="1" s="1"/>
  <c r="M201" i="6"/>
  <c r="Q201" i="6" s="1"/>
  <c r="M200" i="6"/>
  <c r="L202" i="5"/>
  <c r="L203" i="5"/>
  <c r="Q203" i="5" s="1"/>
  <c r="L205" i="5" s="1"/>
  <c r="AE92" i="1"/>
  <c r="L125" i="6"/>
  <c r="K127" i="5"/>
  <c r="AD44" i="1"/>
  <c r="L54" i="6"/>
  <c r="K55" i="6" s="1"/>
  <c r="P55" i="6" s="1"/>
  <c r="K56" i="5"/>
  <c r="J57" i="5" s="1"/>
  <c r="P57" i="5" s="1"/>
  <c r="CP80" i="1"/>
  <c r="O80" i="1" s="1"/>
  <c r="L133" i="6"/>
  <c r="K139" i="6" s="1"/>
  <c r="P139" i="6" s="1"/>
  <c r="K135" i="5"/>
  <c r="CP41" i="1"/>
  <c r="O41" i="1" s="1"/>
  <c r="L99" i="6"/>
  <c r="K101" i="5"/>
  <c r="GM88" i="1"/>
  <c r="T196" i="5"/>
  <c r="K200" i="5" s="1"/>
  <c r="T194" i="6"/>
  <c r="L198" i="6" s="1"/>
  <c r="G168" i="5"/>
  <c r="O168" i="5" s="1"/>
  <c r="V70" i="6"/>
  <c r="V72" i="5"/>
  <c r="AI44" i="1"/>
  <c r="T113" i="6"/>
  <c r="L117" i="6" s="1"/>
  <c r="T115" i="5"/>
  <c r="K119" i="5" s="1"/>
  <c r="J123" i="5" s="1"/>
  <c r="P123" i="5" s="1"/>
  <c r="H239" i="6"/>
  <c r="T182" i="6"/>
  <c r="L179" i="6" s="1"/>
  <c r="K183" i="6" s="1"/>
  <c r="P183" i="6" s="1"/>
  <c r="T184" i="5"/>
  <c r="K181" i="5" s="1"/>
  <c r="L153" i="6"/>
  <c r="GM84" i="1"/>
  <c r="CP86" i="1"/>
  <c r="O86" i="1" s="1"/>
  <c r="H148" i="6"/>
  <c r="O148" i="6" s="1"/>
  <c r="X82" i="6"/>
  <c r="L66" i="6"/>
  <c r="V72" i="6"/>
  <c r="L78" i="6" s="1"/>
  <c r="V74" i="5"/>
  <c r="K80" i="5" s="1"/>
  <c r="X123" i="5"/>
  <c r="V174" i="6"/>
  <c r="L180" i="6" s="1"/>
  <c r="V176" i="5"/>
  <c r="K182" i="5" s="1"/>
  <c r="H108" i="6"/>
  <c r="L251" i="5"/>
  <c r="L69" i="6"/>
  <c r="K71" i="5"/>
  <c r="H183" i="6"/>
  <c r="O183" i="6" s="1"/>
  <c r="T37" i="6"/>
  <c r="L39" i="6" s="1"/>
  <c r="T39" i="5"/>
  <c r="K41" i="5" s="1"/>
  <c r="R123" i="6"/>
  <c r="X130" i="6"/>
  <c r="H130" i="6"/>
  <c r="O130" i="6" s="1"/>
  <c r="H203" i="6" s="1"/>
  <c r="V194" i="6"/>
  <c r="L199" i="6" s="1"/>
  <c r="V196" i="5"/>
  <c r="K201" i="5" s="1"/>
  <c r="V120" i="6"/>
  <c r="V122" i="5"/>
  <c r="V56" i="6"/>
  <c r="L60" i="6" s="1"/>
  <c r="V58" i="5"/>
  <c r="K62" i="5" s="1"/>
  <c r="G32" i="5"/>
  <c r="L160" i="6"/>
  <c r="K166" i="6" s="1"/>
  <c r="P166" i="6" s="1"/>
  <c r="K162" i="5"/>
  <c r="V90" i="6"/>
  <c r="L94" i="6" s="1"/>
  <c r="K96" i="6" s="1"/>
  <c r="P96" i="6" s="1"/>
  <c r="V92" i="5"/>
  <c r="K96" i="5" s="1"/>
  <c r="J98" i="5" s="1"/>
  <c r="P98" i="5" s="1"/>
  <c r="GN40" i="1"/>
  <c r="J221" i="5"/>
  <c r="P221" i="5" s="1"/>
  <c r="J223" i="5" s="1"/>
  <c r="L67" i="6"/>
  <c r="J64" i="5"/>
  <c r="P64" i="5" s="1"/>
  <c r="L197" i="6"/>
  <c r="K199" i="5"/>
  <c r="J141" i="5"/>
  <c r="P141" i="5" s="1"/>
  <c r="H166" i="6"/>
  <c r="O166" i="6" s="1"/>
  <c r="L190" i="6"/>
  <c r="W108" i="5"/>
  <c r="L196" i="6"/>
  <c r="K198" i="5"/>
  <c r="G57" i="5"/>
  <c r="O57" i="5" s="1"/>
  <c r="W57" i="5"/>
  <c r="G27" i="5" s="1"/>
  <c r="W106" i="6"/>
  <c r="H52" i="6"/>
  <c r="O52" i="6" s="1"/>
  <c r="W52" i="6"/>
  <c r="V113" i="6"/>
  <c r="L118" i="6" s="1"/>
  <c r="K121" i="6" s="1"/>
  <c r="P121" i="6" s="1"/>
  <c r="V115" i="5"/>
  <c r="K120" i="5" s="1"/>
  <c r="V37" i="6"/>
  <c r="L40" i="6" s="1"/>
  <c r="V39" i="5"/>
  <c r="K42" i="5" s="1"/>
  <c r="J44" i="5" s="1"/>
  <c r="P44" i="5" s="1"/>
  <c r="GM197" i="1"/>
  <c r="L120" i="6"/>
  <c r="K122" i="5"/>
  <c r="L123" i="6"/>
  <c r="K125" i="5"/>
  <c r="V97" i="6"/>
  <c r="L103" i="6" s="1"/>
  <c r="V99" i="5"/>
  <c r="K105" i="5" s="1"/>
  <c r="AH44" i="1"/>
  <c r="M55" i="6"/>
  <c r="Q55" i="6" s="1"/>
  <c r="L57" i="5"/>
  <c r="Q57" i="5" s="1"/>
  <c r="T43" i="6"/>
  <c r="L45" i="6" s="1"/>
  <c r="K48" i="6" s="1"/>
  <c r="P48" i="6" s="1"/>
  <c r="T45" i="5"/>
  <c r="K47" i="5" s="1"/>
  <c r="J50" i="5" s="1"/>
  <c r="P50" i="5" s="1"/>
  <c r="GM37" i="1"/>
  <c r="V82" i="5"/>
  <c r="V80" i="6"/>
  <c r="T49" i="6"/>
  <c r="T51" i="5"/>
  <c r="T120" i="6"/>
  <c r="T122" i="5"/>
  <c r="T58" i="5"/>
  <c r="K61" i="5" s="1"/>
  <c r="T56" i="6"/>
  <c r="L59" i="6" s="1"/>
  <c r="T184" i="6"/>
  <c r="L189" i="6" s="1"/>
  <c r="K193" i="6" s="1"/>
  <c r="P193" i="6" s="1"/>
  <c r="T186" i="5"/>
  <c r="K191" i="5" s="1"/>
  <c r="J91" i="5"/>
  <c r="P91" i="5" s="1"/>
  <c r="R44" i="6"/>
  <c r="H48" i="6"/>
  <c r="O48" i="6" s="1"/>
  <c r="H249" i="6" s="1"/>
  <c r="W48" i="6"/>
  <c r="G26" i="5"/>
  <c r="G251" i="5"/>
  <c r="K62" i="6"/>
  <c r="P62" i="6" s="1"/>
  <c r="G54" i="5"/>
  <c r="O54" i="5" s="1"/>
  <c r="G110" i="5" s="1"/>
  <c r="W54" i="5"/>
  <c r="T105" i="6"/>
  <c r="T107" i="5"/>
  <c r="T131" i="6"/>
  <c r="L136" i="6" s="1"/>
  <c r="T133" i="5"/>
  <c r="K138" i="5" s="1"/>
  <c r="L51" i="6"/>
  <c r="K53" i="5"/>
  <c r="E48" i="9"/>
  <c r="V158" i="6"/>
  <c r="L164" i="6" s="1"/>
  <c r="V160" i="5"/>
  <c r="K166" i="5" s="1"/>
  <c r="J168" i="5" s="1"/>
  <c r="P168" i="5" s="1"/>
  <c r="X201" i="6"/>
  <c r="H201" i="6"/>
  <c r="O201" i="6" s="1"/>
  <c r="R195" i="6"/>
  <c r="K156" i="5"/>
  <c r="M203" i="6"/>
  <c r="AE194" i="1"/>
  <c r="R199" i="1"/>
  <c r="V236" i="6"/>
  <c r="V238" i="5"/>
  <c r="L195" i="6"/>
  <c r="K201" i="6" s="1"/>
  <c r="P201" i="6" s="1"/>
  <c r="K197" i="5"/>
  <c r="T72" i="6"/>
  <c r="L77" i="6" s="1"/>
  <c r="K82" i="6" s="1"/>
  <c r="P82" i="6" s="1"/>
  <c r="T74" i="5"/>
  <c r="K79" i="5" s="1"/>
  <c r="J84" i="5" s="1"/>
  <c r="P84" i="5" s="1"/>
  <c r="M52" i="6"/>
  <c r="Q52" i="6" s="1"/>
  <c r="L54" i="5"/>
  <c r="Q54" i="5" s="1"/>
  <c r="GM40" i="1"/>
  <c r="GN197" i="1"/>
  <c r="U92" i="1"/>
  <c r="AG75" i="1"/>
  <c r="T92" i="1"/>
  <c r="AJ75" i="1"/>
  <c r="W92" i="1"/>
  <c r="AH26" i="1"/>
  <c r="U44" i="1"/>
  <c r="GM35" i="1"/>
  <c r="GO35" i="1"/>
  <c r="AE26" i="1"/>
  <c r="R44" i="1"/>
  <c r="CJ75" i="1"/>
  <c r="BA92" i="1"/>
  <c r="X194" i="1"/>
  <c r="F224" i="1"/>
  <c r="AE75" i="1"/>
  <c r="R92" i="1"/>
  <c r="AD26" i="1"/>
  <c r="Q44" i="1"/>
  <c r="AY128" i="1"/>
  <c r="CH123" i="1"/>
  <c r="GO90" i="1"/>
  <c r="GM90" i="1"/>
  <c r="AF26" i="1"/>
  <c r="S44" i="1"/>
  <c r="AI75" i="1"/>
  <c r="V92" i="1"/>
  <c r="P194" i="1"/>
  <c r="F202" i="1"/>
  <c r="GN161" i="1"/>
  <c r="CB163" i="1" s="1"/>
  <c r="AB163" i="1"/>
  <c r="GM161" i="1"/>
  <c r="CA163" i="1" s="1"/>
  <c r="AF75" i="1"/>
  <c r="S92" i="1"/>
  <c r="AX26" i="1"/>
  <c r="F51" i="1"/>
  <c r="AX230" i="1"/>
  <c r="BC22" i="1"/>
  <c r="BC259" i="1"/>
  <c r="F246" i="1"/>
  <c r="T123" i="1"/>
  <c r="F149" i="1"/>
  <c r="F150" i="1"/>
  <c r="U123" i="1"/>
  <c r="GM32" i="1"/>
  <c r="GN32" i="1"/>
  <c r="CP31" i="1"/>
  <c r="O31" i="1" s="1"/>
  <c r="P123" i="1"/>
  <c r="F131" i="1"/>
  <c r="GM78" i="1"/>
  <c r="GO78" i="1"/>
  <c r="GN196" i="1"/>
  <c r="AB199" i="1"/>
  <c r="GM196" i="1"/>
  <c r="CA199" i="1" s="1"/>
  <c r="AD92" i="1"/>
  <c r="AV199" i="1"/>
  <c r="CE194" i="1"/>
  <c r="F143" i="1"/>
  <c r="S123" i="1"/>
  <c r="Q123" i="1"/>
  <c r="F140" i="1"/>
  <c r="GM77" i="1"/>
  <c r="AB92" i="1"/>
  <c r="GO77" i="1"/>
  <c r="W26" i="1"/>
  <c r="F68" i="1"/>
  <c r="W230" i="1"/>
  <c r="CY79" i="1"/>
  <c r="X79" i="1" s="1"/>
  <c r="CZ79" i="1"/>
  <c r="Y79" i="1" s="1"/>
  <c r="AC44" i="1"/>
  <c r="BA123" i="1"/>
  <c r="F148" i="1"/>
  <c r="F99" i="1"/>
  <c r="AX75" i="1"/>
  <c r="F178" i="1"/>
  <c r="S159" i="1"/>
  <c r="S194" i="1"/>
  <c r="F214" i="1"/>
  <c r="X128" i="1"/>
  <c r="AK123" i="1"/>
  <c r="AQ26" i="1"/>
  <c r="F54" i="1"/>
  <c r="AQ230" i="1"/>
  <c r="GN41" i="1"/>
  <c r="GM41" i="1"/>
  <c r="AP26" i="1"/>
  <c r="F53" i="1"/>
  <c r="AP230" i="1"/>
  <c r="AL159" i="1"/>
  <c r="Y163" i="1"/>
  <c r="CF194" i="1"/>
  <c r="AW199" i="1"/>
  <c r="F211" i="1"/>
  <c r="Q194" i="1"/>
  <c r="F206" i="1"/>
  <c r="AX194" i="1"/>
  <c r="GO37" i="1"/>
  <c r="F175" i="1"/>
  <c r="Q159" i="1"/>
  <c r="AO22" i="1"/>
  <c r="AO259" i="1"/>
  <c r="F234" i="1"/>
  <c r="BB22" i="1"/>
  <c r="F243" i="1"/>
  <c r="BB259" i="1"/>
  <c r="AS75" i="1"/>
  <c r="F109" i="1"/>
  <c r="GO80" i="1"/>
  <c r="GM80" i="1"/>
  <c r="CC44" i="1"/>
  <c r="AL123" i="1"/>
  <c r="Y128" i="1"/>
  <c r="AC92" i="1"/>
  <c r="AZ123" i="1"/>
  <c r="F139" i="1"/>
  <c r="CJ26" i="1"/>
  <c r="BA44" i="1"/>
  <c r="AZ159" i="1"/>
  <c r="F174" i="1"/>
  <c r="AU26" i="1"/>
  <c r="F63" i="1"/>
  <c r="GM125" i="1"/>
  <c r="CA128" i="1" s="1"/>
  <c r="AB128" i="1"/>
  <c r="GP125" i="1"/>
  <c r="CD128" i="1" s="1"/>
  <c r="AZ75" i="1"/>
  <c r="F103" i="1"/>
  <c r="CY31" i="1"/>
  <c r="X31" i="1" s="1"/>
  <c r="CZ31" i="1"/>
  <c r="Y31" i="1" s="1"/>
  <c r="GN30" i="1"/>
  <c r="GM30" i="1"/>
  <c r="GM29" i="1"/>
  <c r="GN29" i="1"/>
  <c r="CF123" i="1"/>
  <c r="AW128" i="1"/>
  <c r="CE123" i="1"/>
  <c r="AV128" i="1"/>
  <c r="F142" i="1"/>
  <c r="R123" i="1"/>
  <c r="AZ44" i="1"/>
  <c r="CI26" i="1"/>
  <c r="AG26" i="1"/>
  <c r="T44" i="1"/>
  <c r="CH194" i="1"/>
  <c r="AY199" i="1"/>
  <c r="AX159" i="1"/>
  <c r="F170" i="1"/>
  <c r="CE163" i="1"/>
  <c r="AC159" i="1"/>
  <c r="P163" i="1"/>
  <c r="CF163" i="1"/>
  <c r="CH163" i="1"/>
  <c r="AU75" i="1"/>
  <c r="F111" i="1"/>
  <c r="R159" i="1"/>
  <c r="F177" i="1"/>
  <c r="F188" i="1"/>
  <c r="X159" i="1"/>
  <c r="F225" i="1"/>
  <c r="Y194" i="1"/>
  <c r="J185" i="5" l="1"/>
  <c r="P185" i="5" s="1"/>
  <c r="M245" i="6"/>
  <c r="M249" i="6"/>
  <c r="J159" i="5"/>
  <c r="P159" i="5" s="1"/>
  <c r="GM86" i="1"/>
  <c r="GO86" i="1"/>
  <c r="AL92" i="1"/>
  <c r="V122" i="6"/>
  <c r="L128" i="6" s="1"/>
  <c r="V124" i="5"/>
  <c r="K130" i="5" s="1"/>
  <c r="V53" i="6"/>
  <c r="V55" i="5"/>
  <c r="AK92" i="1"/>
  <c r="T122" i="6"/>
  <c r="L127" i="6" s="1"/>
  <c r="K130" i="6" s="1"/>
  <c r="P130" i="6" s="1"/>
  <c r="K203" i="6" s="1"/>
  <c r="T124" i="5"/>
  <c r="K129" i="5" s="1"/>
  <c r="J132" i="5" s="1"/>
  <c r="P132" i="5" s="1"/>
  <c r="J205" i="5" s="1"/>
  <c r="CB199" i="1"/>
  <c r="G247" i="5"/>
  <c r="H245" i="6"/>
  <c r="K71" i="6"/>
  <c r="P71" i="6" s="1"/>
  <c r="K108" i="6" s="1"/>
  <c r="K104" i="5"/>
  <c r="J108" i="5" s="1"/>
  <c r="P108" i="5" s="1"/>
  <c r="M108" i="6"/>
  <c r="T53" i="6"/>
  <c r="T55" i="5"/>
  <c r="AK44" i="1"/>
  <c r="AL44" i="1"/>
  <c r="L247" i="5"/>
  <c r="J203" i="5"/>
  <c r="P203" i="5" s="1"/>
  <c r="R194" i="1"/>
  <c r="F213" i="1"/>
  <c r="AI26" i="1"/>
  <c r="V44" i="1"/>
  <c r="GM82" i="1"/>
  <c r="GO82" i="1"/>
  <c r="L102" i="6"/>
  <c r="K106" i="6" s="1"/>
  <c r="P106" i="6" s="1"/>
  <c r="L110" i="5"/>
  <c r="CC26" i="1"/>
  <c r="AT44" i="1"/>
  <c r="AB75" i="1"/>
  <c r="O92" i="1"/>
  <c r="Q92" i="1"/>
  <c r="AD75" i="1"/>
  <c r="AX22" i="1"/>
  <c r="AX259" i="1"/>
  <c r="F237" i="1"/>
  <c r="S26" i="1"/>
  <c r="F59" i="1"/>
  <c r="S230" i="1"/>
  <c r="R75" i="1"/>
  <c r="F106" i="1"/>
  <c r="R26" i="1"/>
  <c r="F58" i="1"/>
  <c r="R230" i="1"/>
  <c r="T75" i="1"/>
  <c r="F113" i="1"/>
  <c r="F207" i="1"/>
  <c r="AY194" i="1"/>
  <c r="AV123" i="1"/>
  <c r="F133" i="1"/>
  <c r="AU128" i="1"/>
  <c r="CD123" i="1"/>
  <c r="BA26" i="1"/>
  <c r="F64" i="1"/>
  <c r="BA230" i="1"/>
  <c r="AC75" i="1"/>
  <c r="P92" i="1"/>
  <c r="CE92" i="1"/>
  <c r="CF92" i="1"/>
  <c r="CH92" i="1"/>
  <c r="BB18" i="1"/>
  <c r="F272" i="1"/>
  <c r="AO18" i="1"/>
  <c r="F263" i="1"/>
  <c r="AW194" i="1"/>
  <c r="F205" i="1"/>
  <c r="AP22" i="1"/>
  <c r="F239" i="1"/>
  <c r="AP259" i="1"/>
  <c r="CA194" i="1"/>
  <c r="AR199" i="1"/>
  <c r="GM31" i="1"/>
  <c r="CA44" i="1" s="1"/>
  <c r="GN31" i="1"/>
  <c r="CB44" i="1" s="1"/>
  <c r="AB44" i="1"/>
  <c r="AR163" i="1"/>
  <c r="CA159" i="1"/>
  <c r="AY123" i="1"/>
  <c r="F136" i="1"/>
  <c r="CH159" i="1"/>
  <c r="AY163" i="1"/>
  <c r="CE159" i="1"/>
  <c r="AV163" i="1"/>
  <c r="AZ26" i="1"/>
  <c r="F55" i="1"/>
  <c r="AZ230" i="1"/>
  <c r="AB123" i="1"/>
  <c r="O128" i="1"/>
  <c r="F154" i="1"/>
  <c r="Y123" i="1"/>
  <c r="AQ22" i="1"/>
  <c r="F240" i="1"/>
  <c r="AQ259" i="1"/>
  <c r="X123" i="1"/>
  <c r="F153" i="1"/>
  <c r="Y92" i="1"/>
  <c r="AL75" i="1"/>
  <c r="AB194" i="1"/>
  <c r="O199" i="1"/>
  <c r="BC18" i="1"/>
  <c r="F275" i="1"/>
  <c r="AB159" i="1"/>
  <c r="O163" i="1"/>
  <c r="V75" i="1"/>
  <c r="F115" i="1"/>
  <c r="Q26" i="1"/>
  <c r="F56" i="1"/>
  <c r="Q230" i="1"/>
  <c r="GO79" i="1"/>
  <c r="CC92" i="1" s="1"/>
  <c r="F112" i="1"/>
  <c r="BA75" i="1"/>
  <c r="W75" i="1"/>
  <c r="F116" i="1"/>
  <c r="P159" i="1"/>
  <c r="F166" i="1"/>
  <c r="AC26" i="1"/>
  <c r="P44" i="1"/>
  <c r="CF44" i="1"/>
  <c r="CH44" i="1"/>
  <c r="CE44" i="1"/>
  <c r="W22" i="1"/>
  <c r="W259" i="1"/>
  <c r="F254" i="1"/>
  <c r="AL26" i="1"/>
  <c r="Y44" i="1"/>
  <c r="U26" i="1"/>
  <c r="F66" i="1"/>
  <c r="U230" i="1"/>
  <c r="AW163" i="1"/>
  <c r="CF159" i="1"/>
  <c r="T26" i="1"/>
  <c r="F65" i="1"/>
  <c r="T230" i="1"/>
  <c r="F134" i="1"/>
  <c r="AW123" i="1"/>
  <c r="CA123" i="1"/>
  <c r="AR128" i="1"/>
  <c r="Y159" i="1"/>
  <c r="F189" i="1"/>
  <c r="AK26" i="1"/>
  <c r="X44" i="1"/>
  <c r="AK75" i="1"/>
  <c r="X92" i="1"/>
  <c r="AV194" i="1"/>
  <c r="F204" i="1"/>
  <c r="CB194" i="1"/>
  <c r="AS199" i="1"/>
  <c r="S75" i="1"/>
  <c r="F107" i="1"/>
  <c r="AS163" i="1"/>
  <c r="CB159" i="1"/>
  <c r="GM79" i="1"/>
  <c r="CA92" i="1" s="1"/>
  <c r="U75" i="1"/>
  <c r="F114" i="1"/>
  <c r="J247" i="5" l="1"/>
  <c r="J110" i="5"/>
  <c r="V230" i="1"/>
  <c r="V26" i="1"/>
  <c r="F67" i="1"/>
  <c r="K249" i="6"/>
  <c r="K245" i="6"/>
  <c r="G16" i="2"/>
  <c r="G18" i="2" s="1"/>
  <c r="I29" i="5"/>
  <c r="AS44" i="1"/>
  <c r="CB26" i="1"/>
  <c r="CC75" i="1"/>
  <c r="AT92" i="1"/>
  <c r="AR44" i="1"/>
  <c r="CA26" i="1"/>
  <c r="AS159" i="1"/>
  <c r="F180" i="1"/>
  <c r="AR123" i="1"/>
  <c r="F155" i="1"/>
  <c r="F289" i="1" s="1"/>
  <c r="T22" i="1"/>
  <c r="F251" i="1"/>
  <c r="T259" i="1"/>
  <c r="F169" i="1"/>
  <c r="AW159" i="1"/>
  <c r="Y26" i="1"/>
  <c r="F70" i="1"/>
  <c r="Y230" i="1"/>
  <c r="P26" i="1"/>
  <c r="F47" i="1"/>
  <c r="P230" i="1"/>
  <c r="AQ18" i="1"/>
  <c r="F269" i="1"/>
  <c r="F171" i="1"/>
  <c r="AY159" i="1"/>
  <c r="AP18" i="1"/>
  <c r="F268" i="1"/>
  <c r="P75" i="1"/>
  <c r="F95" i="1"/>
  <c r="AT26" i="1"/>
  <c r="F62" i="1"/>
  <c r="AT230" i="1"/>
  <c r="X26" i="1"/>
  <c r="F69" i="1"/>
  <c r="X230" i="1"/>
  <c r="U22" i="1"/>
  <c r="F252" i="1"/>
  <c r="U259" i="1"/>
  <c r="CE26" i="1"/>
  <c r="AV44" i="1"/>
  <c r="Q22" i="1"/>
  <c r="F242" i="1"/>
  <c r="Q259" i="1"/>
  <c r="Y75" i="1"/>
  <c r="F118" i="1"/>
  <c r="F130" i="1"/>
  <c r="O123" i="1"/>
  <c r="F190" i="1"/>
  <c r="F287" i="1" s="1"/>
  <c r="AR159" i="1"/>
  <c r="AR194" i="1"/>
  <c r="F226" i="1"/>
  <c r="AY92" i="1"/>
  <c r="CH75" i="1"/>
  <c r="R22" i="1"/>
  <c r="R259" i="1"/>
  <c r="F244" i="1"/>
  <c r="F104" i="1"/>
  <c r="Q75" i="1"/>
  <c r="AS194" i="1"/>
  <c r="F216" i="1"/>
  <c r="CH26" i="1"/>
  <c r="AY44" i="1"/>
  <c r="O159" i="1"/>
  <c r="F165" i="1"/>
  <c r="O194" i="1"/>
  <c r="F201" i="1"/>
  <c r="F168" i="1"/>
  <c r="AV159" i="1"/>
  <c r="AB26" i="1"/>
  <c r="O44" i="1"/>
  <c r="CF75" i="1"/>
  <c r="AW92" i="1"/>
  <c r="BA22" i="1"/>
  <c r="F250" i="1"/>
  <c r="BA259" i="1"/>
  <c r="AU123" i="1"/>
  <c r="F147" i="1"/>
  <c r="AU230" i="1"/>
  <c r="S22" i="1"/>
  <c r="S259" i="1"/>
  <c r="F245" i="1"/>
  <c r="AX18" i="1"/>
  <c r="F266" i="1"/>
  <c r="O75" i="1"/>
  <c r="F94" i="1"/>
  <c r="X75" i="1"/>
  <c r="F117" i="1"/>
  <c r="W18" i="1"/>
  <c r="F283" i="1"/>
  <c r="CF26" i="1"/>
  <c r="AW44" i="1"/>
  <c r="AZ22" i="1"/>
  <c r="F241" i="1"/>
  <c r="AZ259" i="1"/>
  <c r="CA75" i="1"/>
  <c r="AR92" i="1"/>
  <c r="CE75" i="1"/>
  <c r="AV92" i="1"/>
  <c r="J16" i="2" l="1"/>
  <c r="J18" i="2" s="1"/>
  <c r="I32" i="5"/>
  <c r="K251" i="6"/>
  <c r="J253" i="5"/>
  <c r="K253" i="6"/>
  <c r="J255" i="5"/>
  <c r="V259" i="1"/>
  <c r="V22" i="1"/>
  <c r="F253" i="1"/>
  <c r="I31" i="5" s="1"/>
  <c r="G31" i="5" s="1"/>
  <c r="AW26" i="1"/>
  <c r="F50" i="1"/>
  <c r="AW230" i="1"/>
  <c r="BA18" i="1"/>
  <c r="F279" i="1"/>
  <c r="R18" i="1"/>
  <c r="F273" i="1"/>
  <c r="AV75" i="1"/>
  <c r="F97" i="1"/>
  <c r="AZ18" i="1"/>
  <c r="F270" i="1"/>
  <c r="AU22" i="1"/>
  <c r="F249" i="1"/>
  <c r="AU259" i="1"/>
  <c r="F46" i="1"/>
  <c r="O26" i="1"/>
  <c r="O230" i="1"/>
  <c r="F52" i="1"/>
  <c r="AY26" i="1"/>
  <c r="AY230" i="1"/>
  <c r="U18" i="1"/>
  <c r="F281" i="1"/>
  <c r="AT22" i="1"/>
  <c r="AT259" i="1"/>
  <c r="F248" i="1"/>
  <c r="F110" i="1"/>
  <c r="AT75" i="1"/>
  <c r="X22" i="1"/>
  <c r="F255" i="1"/>
  <c r="X259" i="1"/>
  <c r="AR75" i="1"/>
  <c r="F119" i="1"/>
  <c r="S18" i="1"/>
  <c r="F274" i="1"/>
  <c r="AW75" i="1"/>
  <c r="F98" i="1"/>
  <c r="AY75" i="1"/>
  <c r="F100" i="1"/>
  <c r="AV26" i="1"/>
  <c r="F49" i="1"/>
  <c r="AV230" i="1"/>
  <c r="Y22" i="1"/>
  <c r="F256" i="1"/>
  <c r="Y259" i="1"/>
  <c r="F227" i="1"/>
  <c r="Q18" i="1"/>
  <c r="F271" i="1"/>
  <c r="P22" i="1"/>
  <c r="F233" i="1"/>
  <c r="P259" i="1"/>
  <c r="T18" i="1"/>
  <c r="F280" i="1"/>
  <c r="F71" i="1"/>
  <c r="AR26" i="1"/>
  <c r="AR230" i="1"/>
  <c r="AS26" i="1"/>
  <c r="AS230" i="1"/>
  <c r="F61" i="1"/>
  <c r="V18" i="1" l="1"/>
  <c r="F282" i="1"/>
  <c r="F16" i="2"/>
  <c r="F18" i="2" s="1"/>
  <c r="I28" i="5"/>
  <c r="H16" i="2"/>
  <c r="H18" i="2" s="1"/>
  <c r="I30" i="5"/>
  <c r="F228" i="1"/>
  <c r="K242" i="6"/>
  <c r="J244" i="5"/>
  <c r="J251" i="5" s="1"/>
  <c r="AV22" i="1"/>
  <c r="F235" i="1"/>
  <c r="AV259" i="1"/>
  <c r="O22" i="1"/>
  <c r="O259" i="1"/>
  <c r="F232" i="1"/>
  <c r="AR22" i="1"/>
  <c r="F257" i="1"/>
  <c r="AR259" i="1"/>
  <c r="Y18" i="1"/>
  <c r="F285" i="1"/>
  <c r="AT18" i="1"/>
  <c r="F277" i="1"/>
  <c r="AY22" i="1"/>
  <c r="AY259" i="1"/>
  <c r="F238" i="1"/>
  <c r="P18" i="1"/>
  <c r="F262" i="1"/>
  <c r="AW22" i="1"/>
  <c r="AW259" i="1"/>
  <c r="F236" i="1"/>
  <c r="AS22" i="1"/>
  <c r="F247" i="1"/>
  <c r="AS259" i="1"/>
  <c r="X18" i="1"/>
  <c r="F284" i="1"/>
  <c r="AU18" i="1"/>
  <c r="F278" i="1"/>
  <c r="E16" i="2" l="1"/>
  <c r="I27" i="5"/>
  <c r="K243" i="6"/>
  <c r="J245" i="5"/>
  <c r="I16" i="2"/>
  <c r="I18" i="2" s="1"/>
  <c r="E18" i="2"/>
  <c r="AY18" i="1"/>
  <c r="F267" i="1"/>
  <c r="AV18" i="1"/>
  <c r="F264" i="1"/>
  <c r="AS18" i="1"/>
  <c r="F276" i="1"/>
  <c r="AW18" i="1"/>
  <c r="F265" i="1"/>
  <c r="AR18" i="1"/>
  <c r="F286" i="1"/>
  <c r="F288" i="1" s="1"/>
  <c r="O18" i="1"/>
  <c r="F261" i="1"/>
  <c r="K252" i="6" l="1"/>
  <c r="J254" i="5"/>
  <c r="F290" i="1"/>
  <c r="F291" i="1" l="1"/>
  <c r="K254" i="6"/>
  <c r="J256" i="5"/>
  <c r="F292" i="1"/>
  <c r="F293" i="1" l="1"/>
  <c r="K256" i="6"/>
  <c r="J258" i="5"/>
  <c r="K255" i="6"/>
  <c r="J257" i="5"/>
  <c r="K257" i="6" l="1"/>
  <c r="J259" i="5"/>
  <c r="I26" i="5" s="1"/>
</calcChain>
</file>

<file path=xl/sharedStrings.xml><?xml version="1.0" encoding="utf-8"?>
<sst xmlns="http://schemas.openxmlformats.org/spreadsheetml/2006/main" count="4450" uniqueCount="657">
  <si>
    <t>Smeta.RU  (495) 974-1589</t>
  </si>
  <si>
    <t>_PS_</t>
  </si>
  <si>
    <t>Smeta.RU</t>
  </si>
  <si>
    <t>.  Доп. раб. место  FStS-0041017</t>
  </si>
  <si>
    <t>1</t>
  </si>
  <si>
    <t>Существующая электрическая сеть 6 кВ по территории СНТ " Фарфорист" и СНТ " Дружба"</t>
  </si>
  <si>
    <t/>
  </si>
  <si>
    <t>Е.В. Субочева</t>
  </si>
  <si>
    <t>Главный специалист СДО</t>
  </si>
  <si>
    <t>В.А. Бойцов</t>
  </si>
  <si>
    <t>Главный инженер</t>
  </si>
  <si>
    <t>А.В. Засухин</t>
  </si>
  <si>
    <t>Зам. генерального директора по экономике и финансам</t>
  </si>
  <si>
    <t>В.Н. Мельничук</t>
  </si>
  <si>
    <t>АО " Мособлэнерго"</t>
  </si>
  <si>
    <t>Б.Б. Кошелев</t>
  </si>
  <si>
    <t>Генеральный директор</t>
  </si>
  <si>
    <t>ООО"Энергоперспектива"</t>
  </si>
  <si>
    <t>АО " Мособлэнерго", 142702, Московская область, Ленинский р-н., г. Видное, ул. Советская, владение 10/1</t>
  </si>
  <si>
    <t>ООО"Энергоперспектива", 129110, г. Москва, ул. Гиляровского, д. 65 стр. 1, этаж 5, комната 7, помещение XVI</t>
  </si>
  <si>
    <t>Сметные нормы списания</t>
  </si>
  <si>
    <t>Коды ценников</t>
  </si>
  <si>
    <t>ТСНБ-2001 Московской области (Версия 15.0)</t>
  </si>
  <si>
    <t>ТР для Версии 10: Центральные регионы (с учетом п-ма 2536-ИП/12/ГС от 22.03.2017 г</t>
  </si>
  <si>
    <t>ТСНБ2017</t>
  </si>
  <si>
    <t>ТСНБ 2017</t>
  </si>
  <si>
    <t>Поправки  для ГСН 2017 от 31.03.2017 г</t>
  </si>
  <si>
    <t>Новый раздел</t>
  </si>
  <si>
    <t>Ремонтные работы</t>
  </si>
  <si>
    <t>01-02-057-2</t>
  </si>
  <si>
    <t>Разработка грунта вручную в траншеях глубиной до 2 м без креплений с откосами, группа грунтов 2</t>
  </si>
  <si>
    <t>100 м3 грунта</t>
  </si>
  <si>
    <t>ТЕР Московской обл., 01-02-057-2, приказ Минстроя России №675/пр от 28.02.2017 № 260/пр</t>
  </si>
  <si>
    <t>)*1,2)*1,25)*1,15</t>
  </si>
  <si>
    <t>)*1,2)*1,15)*1,15</t>
  </si>
  <si>
    <t>Общестроительные работы</t>
  </si>
  <si>
    <t>Земляные работы, выполняемые  ручным способом</t>
  </si>
  <si>
    <t>ФЕР-01</t>
  </si>
  <si>
    <t>Поправка: Прил.2, Табл.1, п. 4  Поправка: п.8.7.1  Поправка: Прил.2, Табл.1, п. 5</t>
  </si>
  <si>
    <t>*0,85</t>
  </si>
  <si>
    <t>2</t>
  </si>
  <si>
    <t>01-02-061-1</t>
  </si>
  <si>
    <t>Засыпка вручную траншей, пазух котлованов и ям, группа грунтов 1</t>
  </si>
  <si>
    <t>ТЕР Московской обл., 01-02-061-1, приказ Минстроя России №675/пр от 28.02.2017 № 260/пр</t>
  </si>
  <si>
    <t>3</t>
  </si>
  <si>
    <t>т01-01-01-039</t>
  </si>
  <si>
    <t>Погрузка при автомобильных перевозках грунта растительного слоя (земля, перегной)</t>
  </si>
  <si>
    <t>1 Т ГРУЗА</t>
  </si>
  <si>
    <t>ТССЦпг Московской обл., т01-01-01-039, приказ Минстроя России №675/пр от 28.02.2017 № 261/пр</t>
  </si>
  <si>
    <t>)*1,2)*1,15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</si>
  <si>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</si>
  <si>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</si>
  <si>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</si>
  <si>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Поправка: Прил.2, Табл.1, п. 4  Поправка: Прил.2, Табл.1, п. 5</t>
  </si>
  <si>
    <t>4</t>
  </si>
  <si>
    <t>т03-21-01-025</t>
  </si>
  <si>
    <t>Перевозка грузов I класса автомобилями-самосвалами грузоподъемностью 10 т работающих вне карьера на расстояние до 25 км</t>
  </si>
  <si>
    <t>ТССЦпг Московской обл., т03-21-01-025, приказ Минстроя России №675/пр от 28.02.2017 № 261/пр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</si>
  <si>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</si>
  <si>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</si>
  <si>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</si>
  <si>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5</t>
  </si>
  <si>
    <t>34-02-001-3</t>
  </si>
  <si>
    <t>Устройство трубопроводов из хризотилцементных труб с соединением полиэтиленовыми муфтами до 2 отверстий</t>
  </si>
  <si>
    <t>1 канало-километр трубопровода</t>
  </si>
  <si>
    <t>ТЕР Московской обл., 34-02-001-3, приказ Минстроя России №675/пр от 28.02.2017 № 260/пр</t>
  </si>
  <si>
    <t>)*1,2)*1,15)*1,25</t>
  </si>
  <si>
    <t>Сооружения связи , радиовещания и телевидения</t>
  </si>
  <si>
    <t>ФЕР-34</t>
  </si>
  <si>
    <t>Поправка: Прил.2, Табл.1, п. 4  Поправка: Прил.2, Табл.1, п. 5  Поправка: п.8.7.1</t>
  </si>
  <si>
    <t>6</t>
  </si>
  <si>
    <t>м10-06-034-28</t>
  </si>
  <si>
    <t>Герметизация канала кабельной канализации занятого</t>
  </si>
  <si>
    <t>1 канал</t>
  </si>
  <si>
    <t>ТЕРм Московской обл., м10-06-034-28, приказ Минстроя России №675/пр от 28.02.2017 № 259/пр</t>
  </si>
  <si>
    <t>Монтажные работы</t>
  </si>
  <si>
    <t>Связь: линии связи кабельные  городские (отдел 6, раздел 2)</t>
  </si>
  <si>
    <t>мФЕР-10</t>
  </si>
  <si>
    <t>6,1</t>
  </si>
  <si>
    <t>113-0380</t>
  </si>
  <si>
    <t>Пенополиуретан (ППУ) полимер Вилан-405 (баллон 1л)</t>
  </si>
  <si>
    <t>шт.</t>
  </si>
  <si>
    <t>ТССЦ Московской обл., 113-0380, приказ Минстроя России №675/пр от 28.02.2017 № 254/пр</t>
  </si>
  <si>
    <t>6,2</t>
  </si>
  <si>
    <t>534-9100-312</t>
  </si>
  <si>
    <t>Уплотнитель кабельных проходов термоусаживаемый УКПТ 175/55/300</t>
  </si>
  <si>
    <t>Московская область Каталог текущих цен на материалы (ГАУ Мособлгосэкспертиза), 534-9100-312</t>
  </si>
  <si>
    <t>7</t>
  </si>
  <si>
    <t>м08-02-407-10</t>
  </si>
  <si>
    <t>Труба стальная по установленным конструкциям, в готовых бороздах, по основанию пола, диаметр до 100 мм</t>
  </si>
  <si>
    <t>100 м</t>
  </si>
  <si>
    <t>ТЕРм Московской обл., м08-02-407-10, приказ Минстроя России №675/пр от 28.02.2017 № 259/пр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</si>
  <si>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</si>
  <si>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</si>
  <si>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7,1</t>
  </si>
  <si>
    <t>509-0090</t>
  </si>
  <si>
    <t>Перемычки гибкие, тип ПГС-50</t>
  </si>
  <si>
    <t>10 шт.</t>
  </si>
  <si>
    <t>ТССЦ Московской обл., 509-0090, приказ Минстроя России №675/пр от 28.02.2017 № 258/пр</t>
  </si>
  <si>
    <t>Материалы монтажные</t>
  </si>
  <si>
    <t>Материалы и конструкции ( монтажные )  по ценникам и каталогам</t>
  </si>
  <si>
    <t>ФССЦм</t>
  </si>
  <si>
    <t>7,2</t>
  </si>
  <si>
    <t>103-0046</t>
  </si>
  <si>
    <t>Трубы стальные сварные водогазопроводные с резьбой оцинкованные легкие, диаметр условного прохода 100 мм, толщина стенки 4 мм</t>
  </si>
  <si>
    <t>м</t>
  </si>
  <si>
    <t>ТССЦ Московской обл., 103-0046, приказ Минстроя России №675/пр от 28.02.2017 № 254/пр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</si>
  <si>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</si>
  <si>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</si>
  <si>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</si>
  <si>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8</t>
  </si>
  <si>
    <t>47-01-046-4</t>
  </si>
  <si>
    <t>Подготовка почвы для устройства партерного и обыкновенного газона с внесением растительной земли слоем 15 см вручную</t>
  </si>
  <si>
    <t>100 м2</t>
  </si>
  <si>
    <t>ТЕР Московской обл., 47-01-046-4, приказ Минстроя России №675/пр от 28.02.2017 № 260/пр</t>
  </si>
  <si>
    <t>Озеленение. Защитные лесонасаждения</t>
  </si>
  <si>
    <t>ФЕР-47</t>
  </si>
  <si>
    <t>9</t>
  </si>
  <si>
    <t>47-01-046-5</t>
  </si>
  <si>
    <t>На каждые 5 см изменения толщины слоя добавлять или исключать к расценкам с 47-01-046-01 по 47-01-046-04</t>
  </si>
  <si>
    <t>ТЕР Московской обл., 47-01-046-5, приказ Минстроя России №675/пр от 28.02.2017 № 260/пр</t>
  </si>
  <si>
    <t>10</t>
  </si>
  <si>
    <t>47-01-046-6</t>
  </si>
  <si>
    <t>Посев газонов партерных, мавританских и обыкновенных вручную</t>
  </si>
  <si>
    <t>ТЕР Московской обл., 47-01-046-6, приказ Минстроя России №675/пр от 28.02.2017 № 260/пр</t>
  </si>
  <si>
    <t>10,1</t>
  </si>
  <si>
    <t>414-0137</t>
  </si>
  <si>
    <t>Семена газонных трав (смесь)</t>
  </si>
  <si>
    <t>кг</t>
  </si>
  <si>
    <t>ТССЦ Московской обл., 414-0137, приказ Минстроя России №675/пр от 28.02.2017 № 257/пр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</si>
  <si>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</si>
  <si>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</si>
  <si>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</si>
  <si>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</si>
  <si>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</si>
  <si>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</si>
  <si>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</si>
  <si>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</si>
  <si>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</si>
  <si>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</si>
  <si>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</si>
  <si>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</si>
  <si>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</si>
  <si>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</si>
  <si>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</si>
  <si>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</si>
  <si>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</si>
  <si>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</si>
  <si>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</si>
  <si>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</si>
  <si>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</si>
  <si>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</si>
  <si>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</si>
  <si>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</si>
  <si>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</si>
  <si>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</si>
  <si>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</si>
  <si>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</si>
  <si>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</si>
  <si>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</si>
  <si>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</si>
  <si>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</si>
  <si>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</si>
  <si>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</si>
  <si>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</si>
  <si>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</si>
  <si>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</si>
  <si>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</si>
  <si>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</si>
  <si>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</si>
  <si>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</si>
  <si>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</si>
  <si>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</si>
  <si>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</si>
  <si>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</si>
  <si>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</si>
  <si>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</si>
  <si>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</si>
  <si>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</si>
  <si>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</si>
  <si>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</si>
  <si>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</si>
  <si>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Электромонтажные работы</t>
  </si>
  <si>
    <t>11</t>
  </si>
  <si>
    <t>м08-02-142-1</t>
  </si>
  <si>
    <t>Устройство постели при одном кабеле в траншее</t>
  </si>
  <si>
    <t>100 М КАБЕЛЯ</t>
  </si>
  <si>
    <t>ТЕРм Московской обл., м08-02-142-1, приказ Минстроя России №675/пр от 28.02.2017 № 259/пр</t>
  </si>
  <si>
    <t>11,1</t>
  </si>
  <si>
    <t>408-0122</t>
  </si>
  <si>
    <t>Песок природный для строительных работ средний</t>
  </si>
  <si>
    <t>м3</t>
  </si>
  <si>
    <t>ТССЦ Московской обл., 408-0122, приказ Минстроя России №675/пр от 28.02.2017 № 257/пр</t>
  </si>
  <si>
    <t>12</t>
  </si>
  <si>
    <t>м08-02-141-4</t>
  </si>
  <si>
    <t>Кабель до 35 кВ в готовых траншеях без покрытий, масса 1 м до 6 кг</t>
  </si>
  <si>
    <t>ТЕРм Московской обл., м08-02-141-4, приказ Минстроя России №675/пр от 28.02.2017 № 259/пр</t>
  </si>
  <si>
    <t>13</t>
  </si>
  <si>
    <t>м08-02-148-4</t>
  </si>
  <si>
    <t>Кабель до 35 кВ в проложенных трубах, блоках и коробах, масса 1 м кабеля до 6 кг</t>
  </si>
  <si>
    <t>ТЕРм Московской обл., м08-02-148-4, приказ Минстроя России №675/пр от 28.02.2017 № 259/пр</t>
  </si>
  <si>
    <t>14</t>
  </si>
  <si>
    <t>м08-02-146-5</t>
  </si>
  <si>
    <t>Кабель до 35 кВ с креплением накладными скобами, масса 1 м кабеля до 6 кг ( на опоре)</t>
  </si>
  <si>
    <t>ТЕРм Московской обл., м08-02-146-5, приказ Минстроя России №675/пр от 28.02.2017 № 259/пр</t>
  </si>
  <si>
    <t>)*1,35</t>
  </si>
  <si>
    <t>Поправка: Прил.2, Табл.2, п. 6</t>
  </si>
  <si>
    <t>15</t>
  </si>
  <si>
    <t>м08-03-545-17</t>
  </si>
  <si>
    <t>Кожух металлический для защиты вводов и электрооборудования</t>
  </si>
  <si>
    <t>1 кг</t>
  </si>
  <si>
    <t>ТЕРм Московской обл., м08-03-545-17, приказ Минстроя России №675/пр от 28.02.2017 № 259/пр</t>
  </si>
  <si>
    <t>15,1</t>
  </si>
  <si>
    <t>101-1642</t>
  </si>
  <si>
    <t>Сталь угловая равнополочная, марка стали ВСт3кп2, размером 100х100х10 мм</t>
  </si>
  <si>
    <t>т</t>
  </si>
  <si>
    <t>ТССЦ Московской обл., 101-1642, приказ Минстроя России №675/пр от 28.02.2017 № 254/пр</t>
  </si>
  <si>
    <t>16</t>
  </si>
  <si>
    <t>м08-02-165-7</t>
  </si>
  <si>
    <t>Муфта концевая эпоксидная для 3-жильного кабеля напряжением до 10 кВ, сечение одной жилы до 120 мм2</t>
  </si>
  <si>
    <t>1  ШТ.</t>
  </si>
  <si>
    <t>ТЕРм Московской обл., м08-02-165-7, приказ Минстроя России №675/пр от 28.02.2017 № 259/пр</t>
  </si>
  <si>
    <t>17</t>
  </si>
  <si>
    <t>м08-02-144-7</t>
  </si>
  <si>
    <t>Присоединение к зажимам жил проводов или кабелей сечением до 240 мм2</t>
  </si>
  <si>
    <t>100 шт.</t>
  </si>
  <si>
    <t>ТЕРм Московской обл., м08-02-144-7, приказ Минстроя России №675/пр от 28.02.2017 № 259/пр</t>
  </si>
  <si>
    <t>18</t>
  </si>
  <si>
    <t>м08-02-472-10</t>
  </si>
  <si>
    <t>Проводник заземляющий из медного изолированного провода сечением 25 мм2 открыто по строительным основаниям</t>
  </si>
  <si>
    <t>ТЕРм Московской обл., м08-02-472-10, приказ Минстроя России №675/пр от 28.02.2017 № 259/пр</t>
  </si>
  <si>
    <t>18,1</t>
  </si>
  <si>
    <t>502-9079-13507</t>
  </si>
  <si>
    <t>Провод неизолированный гибкий МГ 25 мм2</t>
  </si>
  <si>
    <t>1000 м</t>
  </si>
  <si>
    <t>Доп. мат. Кат. МО (ред. 2014), 502-9079-13507</t>
  </si>
  <si>
    <t>1000 М</t>
  </si>
  <si>
    <t>19</t>
  </si>
  <si>
    <t>м08-02-167-8</t>
  </si>
  <si>
    <t>Муфта соединительная эпоксидная для 3-4-жильного кабеля напряжением до 10 кВ, сечение жил до 120 мм2</t>
  </si>
  <si>
    <t>ТЕРм Московской обл., м08-02-167-8, приказ Минстроя России №675/пр от 28.02.2017 № 259/пр</t>
  </si>
  <si>
    <t>19,1</t>
  </si>
  <si>
    <t>509-1660</t>
  </si>
  <si>
    <t>Гильза кабельная медная ГМ 120</t>
  </si>
  <si>
    <t>ТССЦ Московской обл., 509-1660, приказ Минстроя России №675/пр от 28.02.2017 № 258/пр</t>
  </si>
  <si>
    <t>20</t>
  </si>
  <si>
    <t>м08-02-143-100</t>
  </si>
  <si>
    <t>Покрытие кабеля плитами из полимернаполненных материалов, расположенными вдоль кабельной линии, размером 48х24</t>
  </si>
  <si>
    <t>100 м кабельной линии</t>
  </si>
  <si>
    <t>ТЕРм Московской обл., м08-02-143-100, приказ Минстроя России №675/пр от 28.02.2017 № 259/пр</t>
  </si>
  <si>
    <t>Пусконаладочные работы</t>
  </si>
  <si>
    <t>21</t>
  </si>
  <si>
    <t>п01-12-027-1</t>
  </si>
  <si>
    <t>Испытание кабеля силового длиной до 500 м напряжением до 10 кВ</t>
  </si>
  <si>
    <t>1 испытание</t>
  </si>
  <si>
    <t>ТЕРп Московской обл., п01-12-027-1, приказ Минстроя России №675/пр от 28.02.2017 № 262/пр</t>
  </si>
  <si>
    <t>Поправка: Прил.2, Табл.4, п. 4  Наименование: Производство работ в электроустановках, находящихся под напряжением, с оформлением при этом наряда-допуска или распоряжения</t>
  </si>
  <si>
    <t>)*1,3</t>
  </si>
  <si>
    <t>Пусконаладочные работы : все сборники, отдел 05 ( диагностика лифтов ) и отдел 06 ( техническое освидетельствование ) сборника мрФЕР-01</t>
  </si>
  <si>
    <t>пФЕРп</t>
  </si>
  <si>
    <t>Поправка: Прил.2, Табл.4, п. 4</t>
  </si>
  <si>
    <t>22</t>
  </si>
  <si>
    <t>п01-11-024-2</t>
  </si>
  <si>
    <t>Фазировка электрической линии или трансформатора с сетью напряжением свыше 1 кВ</t>
  </si>
  <si>
    <t>1 фазировка</t>
  </si>
  <si>
    <t>ТЕРп Московской обл., п01-11-024-2, приказ Минстроя России №675/пр от 28.02.2017 № 262/пр</t>
  </si>
  <si>
    <t>Материалы Заказчика</t>
  </si>
  <si>
    <t>23</t>
  </si>
  <si>
    <t>Кабель АПвБП 3х95/16-10</t>
  </si>
  <si>
    <t>Материалы, изделия и конструкции</t>
  </si>
  <si>
    <t>материалы (03)</t>
  </si>
  <si>
    <t>занесена вручную</t>
  </si>
  <si>
    <t>Материалы не учтенные ценником</t>
  </si>
  <si>
    <t>24</t>
  </si>
  <si>
    <t>Муфта соединительная  СТП-10 70/120</t>
  </si>
  <si>
    <t>ШТ</t>
  </si>
  <si>
    <t>25</t>
  </si>
  <si>
    <t>Муфта концевая КНтП-10 70/120</t>
  </si>
  <si>
    <t>ТЗР 6,9%</t>
  </si>
  <si>
    <t>Итого с ТЗР</t>
  </si>
  <si>
    <t>0</t>
  </si>
  <si>
    <t>Итого без материалов Заказчика</t>
  </si>
  <si>
    <t>Составление тех. отчета 1,5%</t>
  </si>
  <si>
    <t>Составление сметной документации 0,6%</t>
  </si>
  <si>
    <t>Итого</t>
  </si>
  <si>
    <t>НДС 20%</t>
  </si>
  <si>
    <t>Итого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</si>
  <si>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</si>
  <si>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</si>
  <si>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</si>
  <si>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</si>
  <si>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</si>
  <si>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</si>
  <si>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</si>
  <si>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</si>
  <si>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</si>
  <si>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</si>
  <si>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</si>
  <si>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</si>
  <si>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</si>
  <si>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</si>
  <si>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</si>
  <si>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</si>
  <si>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</si>
  <si>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</si>
  <si>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</si>
  <si>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</si>
  <si>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</si>
  <si>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</si>
  <si>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</si>
  <si>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</si>
  <si>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</si>
  <si>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</si>
  <si>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</si>
  <si>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</si>
  <si>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</si>
  <si>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</si>
  <si>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</si>
  <si>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</si>
  <si>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</si>
  <si>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</si>
  <si>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</si>
  <si>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</si>
  <si>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</si>
  <si>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</si>
  <si>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</si>
  <si>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</si>
  <si>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</si>
  <si>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</si>
  <si>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</si>
  <si>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</si>
  <si>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</si>
  <si>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</si>
  <si>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</si>
  <si>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</si>
  <si>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</si>
  <si>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</si>
  <si>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</si>
  <si>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</si>
  <si>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</si>
  <si>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</si>
  <si>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</si>
  <si>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</si>
  <si>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</si>
  <si>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</si>
  <si>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</si>
  <si>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</si>
  <si>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</si>
  <si>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</si>
  <si>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Вид цен</t>
  </si>
  <si>
    <t>Московская область Каталог текущих цен на материалы, январь 2020 г</t>
  </si>
  <si>
    <t>Сборник индексов</t>
  </si>
  <si>
    <t>Мособлгосэкспертиза</t>
  </si>
  <si>
    <t>_OBSM_</t>
  </si>
  <si>
    <t>1-1020-90</t>
  </si>
  <si>
    <t>Рабочий строитель среднего разряда 2</t>
  </si>
  <si>
    <t>чел.-ч</t>
  </si>
  <si>
    <t>1-1015-90</t>
  </si>
  <si>
    <t>Рабочий строитель среднего разряда 1,5</t>
  </si>
  <si>
    <t>Затраты труда машинистов</t>
  </si>
  <si>
    <t>чел.час</t>
  </si>
  <si>
    <t>060248</t>
  </si>
  <si>
    <t>ТСЭМ Московской обл., 060248, приказ Минстроя России №675/пр от 21.09.2015 г.</t>
  </si>
  <si>
    <t>Экскаваторы одноковшовые дизельные на гусеничном ходу при работе на других видах строительства 0,65 м3</t>
  </si>
  <si>
    <t>маш.-ч</t>
  </si>
  <si>
    <t>400052</t>
  </si>
  <si>
    <t>ТСЭМ Московской обл., 400052, приказ Минстроя России №675/пр от 21.09.2015 г.</t>
  </si>
  <si>
    <t>Автомобиль-самосвал, грузоподъемность до 10 т</t>
  </si>
  <si>
    <t>1-1029-90</t>
  </si>
  <si>
    <t>Рабочий строитель среднего разряда 2,9</t>
  </si>
  <si>
    <t>101-2260</t>
  </si>
  <si>
    <t>ТССЦ Московской обл., 101-2260, приказ Минстроя России №675/пр от 28.02.2017 № 254/пр</t>
  </si>
  <si>
    <t>Трубы хризотилцементные безнапорные БНТ, диаметр условного прохода 100 мм</t>
  </si>
  <si>
    <t>102-0243</t>
  </si>
  <si>
    <t>ТССЦ Московской обл., 102-0243, приказ Минстроя России №675/пр от 28.02.2017 № 254/пр</t>
  </si>
  <si>
    <t>Дрова разделанные длиной 1,5-2 м сосна, ольха</t>
  </si>
  <si>
    <t>507-2623</t>
  </si>
  <si>
    <t>ТССЦ Московской обл., 507-2623, приказ Минстроя России №675/пр от 28.02.2017 № 258/пр</t>
  </si>
  <si>
    <t>Муфты полиэтиленовые МПТ-1 для труб 100 мм</t>
  </si>
  <si>
    <t>509-0818</t>
  </si>
  <si>
    <t>ТССЦ Московской обл., 509-0818, приказ Минстроя России №675/пр от 28.02.2017 № 258/пр</t>
  </si>
  <si>
    <t>Пробки кабельные полиэтиленовые ПКП-1 для труб 100 мм</t>
  </si>
  <si>
    <t>1-2037-90</t>
  </si>
  <si>
    <t>Рабочий монтажник среднего разряда 3,7</t>
  </si>
  <si>
    <t>999-9950</t>
  </si>
  <si>
    <t>ТССЦ Московской обл., 999-9950, приказ Минстроя России №675/пр от 21.09.2015 г.</t>
  </si>
  <si>
    <t>Вспомогательные ненормируемые материалы (2% от ОЗП)</t>
  </si>
  <si>
    <t>РУБ</t>
  </si>
  <si>
    <t>1-2038-90</t>
  </si>
  <si>
    <t>Рабочий монтажник среднего разряда 3,8</t>
  </si>
  <si>
    <t>021102</t>
  </si>
  <si>
    <t>ТСЭМ Московской обл., 021102, приказ Минстроя России №675/пр от 28.02.2017 № 264/пр</t>
  </si>
  <si>
    <t>Краны на автомобильном ходу при работе на монтаже технологического оборудования 10 т</t>
  </si>
  <si>
    <t>040502</t>
  </si>
  <si>
    <t>ТСЭМ Московской обл., 040502, приказ Минстроя России №675/пр от 28.02.2017 № 264/пр</t>
  </si>
  <si>
    <t>Установки для сварки ручной дуговой (постоянного тока)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</si>
  <si>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</si>
  <si>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</si>
  <si>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</si>
  <si>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101-1755</t>
  </si>
  <si>
    <t>ТССЦ Московской обл., 101-1755, приказ Минстроя России №675/пр от 28.02.2017 № 254/пр</t>
  </si>
  <si>
    <t>Сталь полосовая, марка стали Ст3сп шириной 50-200 мм толщиной 4-5 мм</t>
  </si>
  <si>
    <t>101-1924</t>
  </si>
  <si>
    <t>ТССЦ Московской обл., 101-1924, приказ Минстроя России №675/пр от 28.02.2017 № 254/пр</t>
  </si>
  <si>
    <t>Электроды диаметром 4 мм Э42А</t>
  </si>
  <si>
    <t>101-2488</t>
  </si>
  <si>
    <t>ТССЦ Московской обл., 101-2488, приказ Минстроя России №675/пр от 28.02.2017 № 254/пр</t>
  </si>
  <si>
    <t>Лента ФУМ</t>
  </si>
  <si>
    <t>110-0219</t>
  </si>
  <si>
    <t>ТССЦ Московской обл., 110-0219, приказ Минстроя России №675/пр от 28.02.2017 № 254/пр</t>
  </si>
  <si>
    <t>Гайки установочные заземляющие</t>
  </si>
  <si>
    <t>402-0006</t>
  </si>
  <si>
    <t>ТССЦ Московской обл., 402-0006, приказ Минстроя России №675/пр от 28.02.2017 № 257/пр</t>
  </si>
  <si>
    <t>Раствор готовый кладочный цементный марки 200</t>
  </si>
  <si>
    <t>1-1022-90</t>
  </si>
  <si>
    <t>Рабочий строитель среднего разряда 2,2</t>
  </si>
  <si>
    <t>407-0013</t>
  </si>
  <si>
    <t>ТССЦ Московской обл., 407-0013, приказ Минстроя России №675/пр от 28.02.2017 № 257/пр</t>
  </si>
  <si>
    <t>Земля растительная механизированной заготовки</t>
  </si>
  <si>
    <t>121601</t>
  </si>
  <si>
    <t>ТСЭМ Московской обл., 121601, приказ Минстроя России №675/пр от 28.02.2017 № 264/пр</t>
  </si>
  <si>
    <t>Машины поливомоечные 6000 л</t>
  </si>
  <si>
    <t>411-0001</t>
  </si>
  <si>
    <t>ТССЦ Московской обл., 411-0001, приказ Минстроя России №675/пр от 28.02.2017 № 257/пр</t>
  </si>
  <si>
    <t>Вода</t>
  </si>
  <si>
    <t>1-2040-90</t>
  </si>
  <si>
    <t>Рабочий монтажник среднего разряда 4</t>
  </si>
  <si>
    <t>ТСЭМ Московской обл., 400001, приказ Минстроя России №675/пр от 21.09.2015 г.</t>
  </si>
  <si>
    <t>030203</t>
  </si>
  <si>
    <t>ТСЭМ Московской обл., 030203, приказ Минстроя России №675/пр от 28.02.2017 № 264/пр</t>
  </si>
  <si>
    <t>Домкраты гидравлические грузоподъемностью 63-100 т</t>
  </si>
  <si>
    <t>030404</t>
  </si>
  <si>
    <t>ТСЭМ Московской обл., 030404, приказ Минстроя России №675/пр от 28.02.2017 № 264/пр</t>
  </si>
  <si>
    <t>Лебедки электрические тяговым усилием до 31,39 кН (3,2 т)</t>
  </si>
  <si>
    <t>101-1641</t>
  </si>
  <si>
    <t>ТССЦ Московской обл., 101-1641, приказ Минстроя России №675/пр от 28.02.2017 № 254/пр</t>
  </si>
  <si>
    <t>Сталь угловая равнополочная, марка стали ВСт3кп2, размером 50x50x5 мм</t>
  </si>
  <si>
    <t>101-2143</t>
  </si>
  <si>
    <t>ТССЦ Московской обл., 101-2143, приказ Минстроя России №675/пр от 28.02.2017 № 254/пр</t>
  </si>
  <si>
    <t>Краска</t>
  </si>
  <si>
    <t>101-2478</t>
  </si>
  <si>
    <t>ТССЦ Московской обл., 101-2478, приказ Минстроя России №675/пр от 28.02.2017 № 254/пр</t>
  </si>
  <si>
    <t>Лента К226</t>
  </si>
  <si>
    <t>113-1786</t>
  </si>
  <si>
    <t>ТССЦ Московской обл., 113-1786, приказ Минстроя России №675/пр от 28.02.2017 № 254/пр</t>
  </si>
  <si>
    <t>Лак битумный БТ-123</t>
  </si>
  <si>
    <t>506-1362</t>
  </si>
  <si>
    <t>ТССЦ Московской обл., 506-1362, приказ Минстроя России №675/пр от 28.02.2017 № 258/пр</t>
  </si>
  <si>
    <t>Припои оловянно-свинцовые бессурьмянистые марки ПОС30</t>
  </si>
  <si>
    <t>031050</t>
  </si>
  <si>
    <t>ТСЭМ Московской обл., 031050, приказ Минстроя России №675/пр от 28.02.2017 № 264/пр</t>
  </si>
  <si>
    <t>Вышка телескопическая 25 м</t>
  </si>
  <si>
    <t>1-2036-90</t>
  </si>
  <si>
    <t>Рабочий монтажник среднего разряда 3,6</t>
  </si>
  <si>
    <t>330206</t>
  </si>
  <si>
    <t>ТСЭМ Московской обл., 330206, приказ Минстроя России №675/пр от 28.02.2017 № 264/пр</t>
  </si>
  <si>
    <t>Дрели электрические</t>
  </si>
  <si>
    <t>101-1977</t>
  </si>
  <si>
    <t>ТССЦ Московской обл., 101-1977, приказ Минстроя России №675/пр от 28.02.2017 № 254/пр</t>
  </si>
  <si>
    <t>Болты с гайками и шайбами строительные</t>
  </si>
  <si>
    <t>101-3914</t>
  </si>
  <si>
    <t>ТССЦ Московской обл., 101-3914, приказ Минстроя России №675/пр от 28.02.2017 № 254/пр</t>
  </si>
  <si>
    <t>Дюбели распорные полипропиленовые</t>
  </si>
  <si>
    <t>101-0069</t>
  </si>
  <si>
    <t>ТССЦ Московской обл., 101-0069, приказ Минстроя России №675/пр от 28.02.2017 № 254/пр</t>
  </si>
  <si>
    <t>Бензин авиационный Б-70</t>
  </si>
  <si>
    <t>509-1206</t>
  </si>
  <si>
    <t>ТССЦ Московской обл., 509-1206, приказ Минстроя России №675/пр от 28.02.2017 № 258/пр</t>
  </si>
  <si>
    <t>Парафины нефтяные твердые марки Т-1</t>
  </si>
  <si>
    <t>101-4621</t>
  </si>
  <si>
    <t>ТССЦ Московской обл., 101-4621, приказ Минстроя России №675/пр от 28.02.2017 № 254/пр</t>
  </si>
  <si>
    <t>Шуруп самонарезающий (LN) 3,5/11 мм</t>
  </si>
  <si>
    <t>1-2023-90</t>
  </si>
  <si>
    <t>Рабочий монтажник среднего разряда 2,3</t>
  </si>
  <si>
    <t>400002</t>
  </si>
  <si>
    <t>ТСЭМ Московской обл., 400002, приказ Минстроя России №675/пр от 21.09.2015 г.</t>
  </si>
  <si>
    <t>Автомобили бортовые, грузоподъемность до 8 т</t>
  </si>
  <si>
    <t>101-8100-1</t>
  </si>
  <si>
    <t>ТССЦ Московской обл., 101-8100-1, приказ Минстроя России №675/пр от 28.02.2017 № 254/пр</t>
  </si>
  <si>
    <t>Плита для закрытия кабеля напряжением до 35КВ из высоконаполненной полимерной композиции, с надписью "Осторожно кабель", ПЗК 480х240х16мм</t>
  </si>
  <si>
    <t>0-3304-90</t>
  </si>
  <si>
    <t>Электромонтажник-наладчик 4 разряда</t>
  </si>
  <si>
    <t>2-0023-90</t>
  </si>
  <si>
    <t>Инженер по наладке и испытаниям III категории</t>
  </si>
  <si>
    <t>0-3306-90</t>
  </si>
  <si>
    <t>Электромонтажник-наладчик 6 разряда</t>
  </si>
  <si>
    <t>414-9230</t>
  </si>
  <si>
    <t>ТССЦ Московской обл., 414-9230, приказ Минстроя России №675/пр от 28.02.2017 № 257/пр</t>
  </si>
  <si>
    <t>Семена газонных трав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</si>
  <si>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  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  Поправка: Прил.2, Табл.1, п. 5  Наименование: Производство работ осуществляется в стесненных условиях застроенной части населенных пунктов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</si>
  <si>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  Поправка: Прил.2, Табл.1, п. 5  Наименование: Производство работ осуществляется в стесненных условиях застроенной части населенных пунктов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</si>
  <si>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  Поправка: Прил.2, Табл.1, п. 5  Наименование: Производство работ осуществляется в стесненных условиях застроенной части населенных пунктов  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t>
  </si>
  <si>
    <t>Поправка: Прил.2, Табл.2, п. 6  Наименование: Производство работ осуществляется внутри работающих трансформаторных и распределительных подстанций, электропомещениях (щитовые, пультовые, подстанции, реакторные, РУ и пункты, кабельные шахты, тоннели и каналы, кабельные полуэтажи) с действующим электрооборудованием или кабельными линиями под напряжением</t>
  </si>
  <si>
    <t>"СОГЛАСОВАНО"</t>
  </si>
  <si>
    <t>"УТВЕРЖДАЮ"</t>
  </si>
  <si>
    <t>Генеральный директор, ООО"Энергоперспектива"</t>
  </si>
  <si>
    <t>"_____"________________ 2020 г.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</si>
  <si>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</si>
  <si>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</si>
  <si>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</si>
  <si>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</si>
  <si>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</si>
  <si>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</si>
  <si>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</si>
  <si>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</si>
  <si>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</si>
  <si>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</si>
  <si>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</si>
  <si>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</si>
  <si>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</si>
  <si>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</si>
  <si>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</si>
  <si>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</si>
  <si>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</si>
  <si>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</si>
  <si>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</si>
  <si>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</si>
  <si>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</si>
  <si>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</si>
  <si>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</si>
  <si>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</si>
  <si>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</si>
  <si>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</si>
  <si>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Московская область Каталог текущих цен на материалы, январь 2020 г и Мособлгосэкспертиза январь 2020 года</t>
  </si>
  <si>
    <r>
      <t>ТЕР 01-02-057-2</t>
    </r>
    <r>
      <rPr>
        <i/>
        <sz val="10"/>
        <rFont val="Arial"/>
        <family val="2"/>
        <charset val="204"/>
      </rPr>
      <t xml:space="preserve">
Поправка: Прил.2, Табл.1, п. 4  Поправка: п.8.7.1  Поправка: Прил.2, Табл.1, п. 5</t>
    </r>
  </si>
  <si>
    <t>Зарплата</t>
  </si>
  <si>
    <t>НР от ФОТ</t>
  </si>
  <si>
    <t>%</t>
  </si>
  <si>
    <t>СП от ФОТ</t>
  </si>
  <si>
    <t>Затраты труда</t>
  </si>
  <si>
    <t>чел-ч</t>
  </si>
  <si>
    <r>
      <t>ТЕР 01-02-061-1</t>
    </r>
    <r>
      <rPr>
        <i/>
        <sz val="10"/>
        <rFont val="Arial"/>
        <family val="2"/>
        <charset val="204"/>
      </rPr>
      <t xml:space="preserve">
Поправка: Прил.2, Табл.1, п. 4  Поправка: п.8.7.1  Поправка: Прил.2, Табл.1, п. 5</t>
    </r>
  </si>
  <si>
    <r>
      <t>ТССЦ 01-01-01-039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</si>
  <si>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t>в т.ч. зарплата машинистов</t>
  </si>
  <si>
    <t>ТССЦ 03-21-01-025</t>
  </si>
  <si>
    <r>
      <t>ТЕР 34-02-001-3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  Поправка: п.8.7.1</t>
    </r>
  </si>
  <si>
    <t>Материальные ресурсы</t>
  </si>
  <si>
    <r>
      <t>ТЕРм 10-06-034-28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</si>
  <si>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t>ТССЦ 113-0380</t>
  </si>
  <si>
    <r>
      <t>ТЕРм 08-02-407-10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</si>
  <si>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t>ТССЦ 509-0090</t>
  </si>
  <si>
    <t>ТССЦ 103-0046</t>
  </si>
  <si>
    <r>
      <t>ТЕР 47-01-046-4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  Поправка: п.8.7.1</t>
    </r>
  </si>
  <si>
    <r>
      <t>ТЕР 47-01-046-5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  Поправка: п.8.7.1</t>
    </r>
  </si>
  <si>
    <r>
      <t>ТЕР 47-01-046-6</t>
    </r>
    <r>
      <rPr>
        <i/>
        <sz val="10"/>
        <rFont val="Arial"/>
        <family val="2"/>
        <charset val="204"/>
      </rPr>
      <t xml:space="preserve">
Поправка: Прил.2, Табл.1, п. 4  Поправка: п.8.7.1  Поправка: Прил.2, Табл.1, п. 5</t>
    </r>
  </si>
  <si>
    <t>ТССЦ 414-0137</t>
  </si>
  <si>
    <r>
      <t>ТЕРм 08-02-142-1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</si>
  <si>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t>ТССЦ 408-0122</t>
  </si>
  <si>
    <r>
      <t>ТЕРм 08-02-141-4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</si>
  <si>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r>
      <t>ТЕРм 08-02-148-4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</si>
  <si>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r>
      <t>ТЕРм 08-02-146-5</t>
    </r>
    <r>
      <rPr>
        <i/>
        <sz val="10"/>
        <rFont val="Arial"/>
        <family val="2"/>
        <charset val="204"/>
      </rPr>
      <t xml:space="preserve">
Поправка: Прил.2, Табл.2, п. 6</t>
    </r>
  </si>
  <si>
    <r>
      <t>ТЕРм 08-03-545-17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</si>
  <si>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t>ТССЦ 101-1642</t>
  </si>
  <si>
    <r>
      <t>ТЕРм 08-02-165-7</t>
    </r>
    <r>
      <rPr>
        <i/>
        <sz val="10"/>
        <rFont val="Arial"/>
        <family val="2"/>
        <charset val="204"/>
      </rPr>
      <t xml:space="preserve">
Поправка: Прил.2, Табл.2, п. 6</t>
    </r>
  </si>
  <si>
    <r>
      <t>ТЕРм 08-02-144-7</t>
    </r>
    <r>
      <rPr>
        <i/>
        <sz val="10"/>
        <rFont val="Arial"/>
        <family val="2"/>
        <charset val="204"/>
      </rPr>
      <t xml:space="preserve">
Поправка: Прил.2, Табл.2, п. 6</t>
    </r>
  </si>
  <si>
    <r>
      <t>ТЕРм 08-02-472-10</t>
    </r>
    <r>
      <rPr>
        <i/>
        <sz val="10"/>
        <rFont val="Arial"/>
        <family val="2"/>
        <charset val="204"/>
      </rPr>
      <t xml:space="preserve">
Поправка: Прил.2, Табл.2, п. 6</t>
    </r>
  </si>
  <si>
    <r>
      <t>ТЕРм 08-02-167-8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</si>
  <si>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t>ТССЦ 509-1660</t>
  </si>
  <si>
    <r>
      <t>ТЕРм 08-02-143-100</t>
    </r>
    <r>
      <rPr>
        <i/>
        <sz val="10"/>
        <rFont val="Arial"/>
        <family val="2"/>
        <charset val="204"/>
      </rPr>
      <t xml:space="preserve">
Поправка: Прил.2, Табл.1, п. 4  Поправка: Прил.2, Табл.1, п. 5</t>
    </r>
  </si>
  <si>
    <r>
      <t>ТЕРп 01-12-027-1</t>
    </r>
    <r>
      <rPr>
        <i/>
        <sz val="10"/>
        <rFont val="Arial"/>
        <family val="2"/>
        <charset val="204"/>
      </rPr>
      <t xml:space="preserve">
Поправка: Прил.2, Табл.4, п. 4</t>
    </r>
  </si>
  <si>
    <r>
      <t>ТЕРп 01-11-024-2</t>
    </r>
    <r>
      <rPr>
        <i/>
        <sz val="10"/>
        <rFont val="Arial"/>
        <family val="2"/>
        <charset val="204"/>
      </rPr>
      <t xml:space="preserve">
Поправка: Прил.2, Табл.4, п. 4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</si>
  <si>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</si>
  <si>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</si>
  <si>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</si>
  <si>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</si>
  <si>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</si>
  <si>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</si>
  <si>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</si>
  <si>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</si>
  <si>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</si>
  <si>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</si>
  <si>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</si>
  <si>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</si>
  <si>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</si>
  <si>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</si>
  <si>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</si>
  <si>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</si>
  <si>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</si>
  <si>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</si>
  <si>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</si>
  <si>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</si>
  <si>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</si>
  <si>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</si>
  <si>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</si>
  <si>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</si>
  <si>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</si>
  <si>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</si>
  <si>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</si>
  <si>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</si>
  <si>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</si>
  <si>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</si>
  <si>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</si>
  <si>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Номер</t>
  </si>
  <si>
    <t>поз. по сме-те</t>
  </si>
  <si>
    <t>Составлен(а) в ценах 2001 г. с учетом коэффициентов пересчета к базисной стоимости СМР в текущий уровень цен базисно-индексным методом за Московская область Каталог текущих цен на материалы, январь 2020 г и Мособлгосэкспертиза январь 2020 года</t>
  </si>
  <si>
    <t xml:space="preserve">Сдал   </t>
  </si>
  <si>
    <t xml:space="preserve">Принял   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</si>
  <si>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</si>
  <si>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</si>
  <si>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</si>
  <si>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</si>
  <si>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</si>
  <si>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Единица измерения</t>
  </si>
  <si>
    <t>Количество</t>
  </si>
  <si>
    <t>Примечание</t>
  </si>
  <si>
    <t>Заказчик _________________</t>
  </si>
  <si>
    <t>Подрядчик _________________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</si>
  <si>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</si>
  <si>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</si>
  <si>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</si>
  <si>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</si>
  <si>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</si>
  <si>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</si>
  <si>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</si>
  <si>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</si>
  <si>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</si>
  <si>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</si>
  <si>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</si>
  <si>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</si>
  <si>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</si>
  <si>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</si>
  <si>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</si>
  <si>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</si>
  <si>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</si>
  <si>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</si>
  <si>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</si>
  <si>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</si>
  <si>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</si>
  <si>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</si>
  <si>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</si>
  <si>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</si>
  <si>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</si>
  <si>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</si>
  <si>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</si>
  <si>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</si>
  <si>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</si>
  <si>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</si>
  <si>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</si>
  <si>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</si>
  <si>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</si>
  <si>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</si>
  <si>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Существующая электрическая сеть 6 кВ по территории СНТ " Фарфорист" и СНТ " Дружба"</t>
  </si>
  <si>
    <t>Обоснование</t>
  </si>
  <si>
    <t>Наименование</t>
  </si>
  <si>
    <t>Объем</t>
  </si>
  <si>
    <t>Текущая</t>
  </si>
  <si>
    <t>цена</t>
  </si>
  <si>
    <t>стоимость</t>
  </si>
  <si>
    <t>Локальная смета: Существующая электрическая сеть 6 кВ по территории СНТ " Фарфорист" и СНТ " Дружба"</t>
  </si>
  <si>
    <t xml:space="preserve">Материальные ресурсы </t>
  </si>
  <si>
    <t xml:space="preserve">Итого материальные ресурсы </t>
  </si>
  <si>
    <t>Член правления СНТ " Фарфорист"</t>
  </si>
  <si>
    <t>______________________ Р.Ю. Трофимов</t>
  </si>
  <si>
    <t>Московская область, г.Ликино-Дулево</t>
  </si>
  <si>
    <t>Цена  поставщика</t>
  </si>
  <si>
    <t>Московская область, г. Ликино-Дулево</t>
  </si>
  <si>
    <t>Садоводческое некомерческое товарищество " Фарфорист". Мосековская область, орехово-Зуевский район, г. Ликино-Дулево, СНт " Фарфорист", СНТ " 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</si>
</sst>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\ #,##0.00"/>
  </numFmts>
  <fonts count="20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3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0" fillId="0" borderId="0" xfId="0" applyNumberFormat="1"/>
    <xf numFmtId="0" fontId="11" fillId="0" borderId="2" xfId="0" applyFont="1" applyBorder="1"/>
    <xf numFmtId="0" fontId="1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164" fontId="17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 wrapText="1"/>
    </xf>
    <xf numFmtId="0" fontId="11" fillId="0" borderId="2" xfId="0" quotePrefix="1" applyFont="1" applyBorder="1" applyAlignment="1">
      <alignment horizontal="right" wrapText="1"/>
    </xf>
    <xf numFmtId="164" fontId="17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11" fillId="0" borderId="7" xfId="0" applyFont="1" applyBorder="1" applyAlignment="1">
      <alignment horizontal="right"/>
    </xf>
    <xf numFmtId="0" fontId="12" fillId="0" borderId="3" xfId="0" quotePrefix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0" fontId="11" fillId="0" borderId="0" xfId="0" applyFont="1"/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1" fillId="0" borderId="5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11" fillId="0" borderId="3" xfId="0" quotePrefix="1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6"/>
  <sheetViews>
    <sheetView tabSelected="1" view="pageBreakPreview" zoomScaleNormal="100" zoomScaleSheetLayoutView="100" workbookViewId="0">
      <selection activeCell="AQ32" sqref="AQ32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8.7109375" customWidth="1"/>
    <col min="15" max="29" width="0" hidden="1" customWidth="1"/>
    <col min="30" max="30" width="147.7109375" hidden="1" customWidth="1"/>
    <col min="31" max="31" width="0" hidden="1" customWidth="1"/>
    <col min="32" max="32" width="91.7109375" hidden="1" customWidth="1"/>
    <col min="33" max="36" width="0" hidden="1" customWidth="1"/>
  </cols>
  <sheetData>
    <row r="1" spans="1:12" x14ac:dyDescent="0.2">
      <c r="A1" s="9" t="str">
        <f>Source!B1</f>
        <v>Smeta.RU  (495) 974-1589</v>
      </c>
    </row>
    <row r="2" spans="1:12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ht="16.5" x14ac:dyDescent="0.25">
      <c r="A3" s="12"/>
      <c r="B3" s="101" t="s">
        <v>493</v>
      </c>
      <c r="C3" s="101"/>
      <c r="D3" s="101"/>
      <c r="E3" s="101"/>
      <c r="F3" s="11"/>
      <c r="G3" s="11"/>
      <c r="H3" s="101" t="s">
        <v>494</v>
      </c>
      <c r="I3" s="101"/>
      <c r="J3" s="101"/>
      <c r="K3" s="101"/>
      <c r="L3" s="101"/>
    </row>
    <row r="4" spans="1:12" ht="14.25" x14ac:dyDescent="0.2">
      <c r="A4" s="11"/>
      <c r="B4" s="85" t="s">
        <v>495</v>
      </c>
      <c r="C4" s="85"/>
      <c r="D4" s="85"/>
      <c r="E4" s="85"/>
      <c r="F4" s="11"/>
      <c r="G4" s="11"/>
      <c r="H4" s="85" t="s">
        <v>651</v>
      </c>
      <c r="I4" s="85"/>
      <c r="J4" s="85"/>
      <c r="K4" s="85"/>
      <c r="L4" s="85"/>
    </row>
    <row r="5" spans="1:12" ht="14.25" x14ac:dyDescent="0.2">
      <c r="A5" s="13"/>
      <c r="B5" s="13"/>
      <c r="C5" s="14"/>
      <c r="D5" s="14"/>
      <c r="E5" s="14"/>
      <c r="F5" s="11"/>
      <c r="G5" s="11"/>
      <c r="H5" s="15"/>
      <c r="I5" s="14"/>
      <c r="J5" s="14"/>
      <c r="K5" s="14"/>
      <c r="L5" s="15"/>
    </row>
    <row r="6" spans="1:12" ht="14.25" x14ac:dyDescent="0.2">
      <c r="A6" s="15"/>
      <c r="B6" s="85" t="str">
        <f>CONCATENATE("______________________ ", IF(Source!AL12&lt;&gt;"", Source!AL12, ""))</f>
        <v>______________________ Б.Б. Кошелев</v>
      </c>
      <c r="C6" s="85"/>
      <c r="D6" s="85"/>
      <c r="E6" s="85"/>
      <c r="F6" s="11"/>
      <c r="G6" s="11"/>
      <c r="H6" s="85" t="s">
        <v>652</v>
      </c>
      <c r="I6" s="85"/>
      <c r="J6" s="85"/>
      <c r="K6" s="85"/>
      <c r="L6" s="85"/>
    </row>
    <row r="7" spans="1:12" ht="14.25" x14ac:dyDescent="0.2">
      <c r="A7" s="16"/>
      <c r="B7" s="99" t="s">
        <v>496</v>
      </c>
      <c r="C7" s="99"/>
      <c r="D7" s="99"/>
      <c r="E7" s="99"/>
      <c r="F7" s="11"/>
      <c r="G7" s="11"/>
      <c r="H7" s="99" t="s">
        <v>496</v>
      </c>
      <c r="I7" s="99"/>
      <c r="J7" s="99"/>
      <c r="K7" s="99"/>
      <c r="L7" s="99"/>
    </row>
    <row r="10" spans="1:12" ht="15.75" x14ac:dyDescent="0.25">
      <c r="A10" s="16"/>
      <c r="B10" s="94" t="s">
        <v>653</v>
      </c>
      <c r="C10" s="94"/>
      <c r="D10" s="94"/>
      <c r="E10" s="94"/>
      <c r="F10" s="94"/>
      <c r="G10" s="94"/>
      <c r="H10" s="94"/>
      <c r="I10" s="94"/>
      <c r="J10" s="94"/>
      <c r="K10" s="94"/>
      <c r="L10" s="16"/>
    </row>
    <row r="11" spans="1:12" ht="14.25" x14ac:dyDescent="0.2">
      <c r="A11" s="17"/>
      <c r="B11" s="100" t="s">
        <v>497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6"/>
    </row>
    <row r="12" spans="1:12" ht="14.2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 hidden="1" x14ac:dyDescent="0.2">
      <c r="A13" s="11"/>
      <c r="B13" s="11"/>
      <c r="C13" s="11"/>
      <c r="D13" s="11"/>
      <c r="E13" s="11"/>
      <c r="F13" s="86" t="s">
        <v>498</v>
      </c>
      <c r="G13" s="86"/>
      <c r="H13" s="87" t="str">
        <f>IF(Source!F12&lt;&gt;"Новый объект", Source!F12, "")</f>
        <v>1</v>
      </c>
      <c r="I13" s="87"/>
      <c r="J13" s="87"/>
      <c r="K13" s="87"/>
      <c r="L13" s="18"/>
    </row>
    <row r="14" spans="1:12" ht="14.25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.75" x14ac:dyDescent="0.25">
      <c r="A15" s="19"/>
      <c r="B15" s="94" t="str">
        <f>CONCATENATE( "ЛОКАЛЬНАЯ СМЕТА № ",IF(Source!F20&lt;&gt;"Новая локальная смета", Source!F20, ""))</f>
        <v>ЛОКАЛЬНАЯ СМЕТА № 1</v>
      </c>
      <c r="C15" s="94"/>
      <c r="D15" s="94"/>
      <c r="E15" s="94"/>
      <c r="F15" s="94"/>
      <c r="G15" s="94"/>
      <c r="H15" s="94"/>
      <c r="I15" s="94"/>
      <c r="J15" s="94"/>
      <c r="K15" s="94"/>
      <c r="L15" s="19"/>
    </row>
    <row r="16" spans="1:12" ht="15.75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9"/>
    </row>
    <row r="17" spans="1:30" ht="18" hidden="1" x14ac:dyDescent="0.25">
      <c r="A17" s="19"/>
      <c r="B17" s="95" t="str">
        <f>IF(Source!G20&lt;&gt;"Новая локальная смета", Source!G20, "")</f>
        <v>Существующая электрическая сеть 6 кВ по территории СНТ " Фарфорист" и СНТ " Дружба"</v>
      </c>
      <c r="C17" s="95"/>
      <c r="D17" s="95"/>
      <c r="E17" s="95"/>
      <c r="F17" s="95"/>
      <c r="G17" s="95"/>
      <c r="H17" s="95"/>
      <c r="I17" s="95"/>
      <c r="J17" s="95"/>
      <c r="K17" s="95"/>
      <c r="L17" s="19"/>
      <c r="AD17" s="54" t="str">
        <f>IF(Source!G20&lt;&gt;"Новая локальная смета", Source!G20, "")</f>
        <v>Существующая электрическая сеть 6 кВ по территории СНТ " Фарфорист" и СНТ " Дружба"</v>
      </c>
    </row>
    <row r="18" spans="1:30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30" ht="18" x14ac:dyDescent="0.25">
      <c r="A19" s="11"/>
      <c r="B19" s="96" t="str">
        <f>IF(Source!G12&lt;&gt;"Новый объект", Source!G12, "")</f>
        <v>Существующая электрическая сеть 6 кВ по территории СНТ " Фарфорист" и СНТ " Дружба"</v>
      </c>
      <c r="C19" s="96"/>
      <c r="D19" s="96"/>
      <c r="E19" s="96"/>
      <c r="F19" s="96"/>
      <c r="G19" s="96"/>
      <c r="H19" s="96"/>
      <c r="I19" s="96"/>
      <c r="J19" s="96"/>
      <c r="K19" s="96"/>
      <c r="L19" s="21"/>
      <c r="AD19" s="55" t="str">
        <f>IF(Source!G12&lt;&gt;"Новый объект", Source!G12, "")</f>
        <v>Существующая электрическая сеть 6 кВ по территории СНТ " Фарфорист" и СНТ " Дружба"</v>
      </c>
    </row>
    <row r="20" spans="1:30" ht="14.25" x14ac:dyDescent="0.2">
      <c r="A20" s="11"/>
      <c r="B20" s="97" t="s">
        <v>499</v>
      </c>
      <c r="C20" s="97"/>
      <c r="D20" s="97"/>
      <c r="E20" s="97"/>
      <c r="F20" s="97"/>
      <c r="G20" s="97"/>
      <c r="H20" s="97"/>
      <c r="I20" s="97"/>
      <c r="J20" s="97"/>
      <c r="K20" s="97"/>
      <c r="L20" s="16"/>
    </row>
    <row r="21" spans="1:30" ht="14.2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30" ht="14.25" x14ac:dyDescent="0.2">
      <c r="A22" s="87" t="str">
        <f>CONCATENATE("Основание: ", Source!J20)</f>
        <v xml:space="preserve">Основание: 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30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0" ht="14.2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30" ht="14.25" x14ac:dyDescent="0.2">
      <c r="A25" s="11"/>
      <c r="B25" s="11"/>
      <c r="C25" s="11"/>
      <c r="D25" s="11"/>
      <c r="E25" s="22"/>
      <c r="F25" s="22"/>
      <c r="G25" s="98" t="s">
        <v>500</v>
      </c>
      <c r="H25" s="98"/>
      <c r="I25" s="98" t="s">
        <v>501</v>
      </c>
      <c r="J25" s="98"/>
      <c r="K25" s="11"/>
      <c r="L25" s="11"/>
    </row>
    <row r="26" spans="1:30" ht="15" x14ac:dyDescent="0.25">
      <c r="A26" s="11"/>
      <c r="B26" s="11"/>
      <c r="C26" s="90" t="s">
        <v>502</v>
      </c>
      <c r="D26" s="90"/>
      <c r="E26" s="90"/>
      <c r="F26" s="90"/>
      <c r="G26" s="88">
        <f>SUM(O37:O248)/1000</f>
        <v>948.71275000000003</v>
      </c>
      <c r="H26" s="88"/>
      <c r="I26" s="88">
        <f>J259/1000</f>
        <v>2970.5014999999999</v>
      </c>
      <c r="J26" s="88"/>
      <c r="K26" s="91" t="s">
        <v>503</v>
      </c>
      <c r="L26" s="91"/>
    </row>
    <row r="27" spans="1:30" ht="14.25" x14ac:dyDescent="0.2">
      <c r="A27" s="11"/>
      <c r="B27" s="11"/>
      <c r="C27" s="93" t="s">
        <v>504</v>
      </c>
      <c r="D27" s="93"/>
      <c r="E27" s="93"/>
      <c r="F27" s="93"/>
      <c r="G27" s="88">
        <f>SUM(W37:W248)/1000</f>
        <v>894.19709999999998</v>
      </c>
      <c r="H27" s="88"/>
      <c r="I27" s="88">
        <f>(Source!F247)/1000</f>
        <v>2543.0328100000002</v>
      </c>
      <c r="J27" s="88"/>
      <c r="K27" s="91" t="s">
        <v>503</v>
      </c>
      <c r="L27" s="91"/>
    </row>
    <row r="28" spans="1:30" ht="14.25" x14ac:dyDescent="0.2">
      <c r="A28" s="11"/>
      <c r="B28" s="11"/>
      <c r="C28" s="93" t="s">
        <v>505</v>
      </c>
      <c r="D28" s="93"/>
      <c r="E28" s="93"/>
      <c r="F28" s="93"/>
      <c r="G28" s="88">
        <f>SUM(X37:X248)/1000</f>
        <v>53.904340000000005</v>
      </c>
      <c r="H28" s="88"/>
      <c r="I28" s="88">
        <f>(Source!F248)/1000</f>
        <v>683.28778</v>
      </c>
      <c r="J28" s="88"/>
      <c r="K28" s="91" t="s">
        <v>503</v>
      </c>
      <c r="L28" s="91"/>
    </row>
    <row r="29" spans="1:30" ht="14.25" hidden="1" x14ac:dyDescent="0.2">
      <c r="A29" s="11"/>
      <c r="B29" s="11"/>
      <c r="C29" s="93" t="s">
        <v>506</v>
      </c>
      <c r="D29" s="93"/>
      <c r="E29" s="93"/>
      <c r="F29" s="93"/>
      <c r="G29" s="88">
        <f>SUM(Y37:Y248)/1000</f>
        <v>0</v>
      </c>
      <c r="H29" s="88"/>
      <c r="I29" s="88">
        <f>(Source!F239)/1000</f>
        <v>0</v>
      </c>
      <c r="J29" s="88"/>
      <c r="K29" s="91" t="s">
        <v>503</v>
      </c>
      <c r="L29" s="91"/>
    </row>
    <row r="30" spans="1:30" ht="14.25" x14ac:dyDescent="0.2">
      <c r="A30" s="11"/>
      <c r="B30" s="11"/>
      <c r="C30" s="93" t="s">
        <v>507</v>
      </c>
      <c r="D30" s="93"/>
      <c r="E30" s="93"/>
      <c r="F30" s="93"/>
      <c r="G30" s="88">
        <f>SUM(Z37:Z248)/1000</f>
        <v>0.61130999999999991</v>
      </c>
      <c r="H30" s="88"/>
      <c r="I30" s="88">
        <f>(Source!F249+Source!F250)/1000</f>
        <v>18.369880000000002</v>
      </c>
      <c r="J30" s="88"/>
      <c r="K30" s="91" t="s">
        <v>503</v>
      </c>
      <c r="L30" s="91"/>
    </row>
    <row r="31" spans="1:30" ht="15" x14ac:dyDescent="0.25">
      <c r="A31" s="11"/>
      <c r="B31" s="11"/>
      <c r="C31" s="90" t="s">
        <v>508</v>
      </c>
      <c r="D31" s="90"/>
      <c r="E31" s="90"/>
      <c r="F31" s="90"/>
      <c r="G31" s="88">
        <f>I31</f>
        <v>2951.0990927999987</v>
      </c>
      <c r="H31" s="88"/>
      <c r="I31" s="88">
        <f>(Source!F252+Source!F253)</f>
        <v>2951.0990927999987</v>
      </c>
      <c r="J31" s="88"/>
      <c r="K31" s="91" t="s">
        <v>509</v>
      </c>
      <c r="L31" s="91"/>
    </row>
    <row r="32" spans="1:30" ht="15" x14ac:dyDescent="0.25">
      <c r="A32" s="11"/>
      <c r="B32" s="11"/>
      <c r="C32" s="90" t="s">
        <v>510</v>
      </c>
      <c r="D32" s="90"/>
      <c r="E32" s="90"/>
      <c r="F32" s="90"/>
      <c r="G32" s="88">
        <f>SUM(R37:R248)/1000</f>
        <v>24.777519999999996</v>
      </c>
      <c r="H32" s="88"/>
      <c r="I32" s="88">
        <f>(Source!F245+ Source!F244)/1000</f>
        <v>739.6418000000001</v>
      </c>
      <c r="J32" s="88"/>
      <c r="K32" s="91" t="s">
        <v>503</v>
      </c>
      <c r="L32" s="91"/>
    </row>
    <row r="33" spans="1:26" ht="14.2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26" ht="14.25" x14ac:dyDescent="0.2">
      <c r="A34" s="92" t="s">
        <v>523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26" ht="57" x14ac:dyDescent="0.2">
      <c r="A35" s="23" t="s">
        <v>511</v>
      </c>
      <c r="B35" s="23" t="s">
        <v>512</v>
      </c>
      <c r="C35" s="23" t="s">
        <v>513</v>
      </c>
      <c r="D35" s="23" t="s">
        <v>514</v>
      </c>
      <c r="E35" s="23" t="s">
        <v>515</v>
      </c>
      <c r="F35" s="23" t="s">
        <v>516</v>
      </c>
      <c r="G35" s="23" t="s">
        <v>517</v>
      </c>
      <c r="H35" s="23" t="s">
        <v>518</v>
      </c>
      <c r="I35" s="23" t="s">
        <v>519</v>
      </c>
      <c r="J35" s="23" t="s">
        <v>520</v>
      </c>
      <c r="K35" s="23" t="s">
        <v>521</v>
      </c>
      <c r="L35" s="23" t="s">
        <v>522</v>
      </c>
    </row>
    <row r="36" spans="1:26" ht="14.25" x14ac:dyDescent="0.2">
      <c r="A36" s="24">
        <v>1</v>
      </c>
      <c r="B36" s="24">
        <v>2</v>
      </c>
      <c r="C36" s="24">
        <v>3</v>
      </c>
      <c r="D36" s="24">
        <v>4</v>
      </c>
      <c r="E36" s="24">
        <v>5</v>
      </c>
      <c r="F36" s="24">
        <v>6</v>
      </c>
      <c r="G36" s="24">
        <v>7</v>
      </c>
      <c r="H36" s="24">
        <v>8</v>
      </c>
      <c r="I36" s="24">
        <v>9</v>
      </c>
      <c r="J36" s="24">
        <v>10</v>
      </c>
      <c r="K36" s="24">
        <v>11</v>
      </c>
      <c r="L36" s="25">
        <v>12</v>
      </c>
    </row>
    <row r="38" spans="1:26" ht="16.5" x14ac:dyDescent="0.25">
      <c r="A38" s="82" t="str">
        <f>CONCATENATE("Раздел: ",IF(Source!G24&lt;&gt;"Новый раздел", Source!G24, ""))</f>
        <v>Раздел: Ремонтные работы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26" ht="130.5" x14ac:dyDescent="0.2">
      <c r="A39" s="48" t="str">
        <f>Source!E28</f>
        <v>1</v>
      </c>
      <c r="B39" s="49" t="s">
        <v>524</v>
      </c>
      <c r="C39" s="49" t="str">
        <f>Source!G28</f>
        <v>Разработка грунта вручную в траншеях глубиной до 2 м без креплений с откосами, группа грунтов 2</v>
      </c>
      <c r="D39" s="31" t="str">
        <f>Source!H28</f>
        <v>100 м3 грунта</v>
      </c>
      <c r="E39" s="10">
        <f>Source!I28</f>
        <v>3.6720000000000002</v>
      </c>
      <c r="F39" s="32">
        <f>Source!AL28+Source!AM28+Source!AO28</f>
        <v>1201.2</v>
      </c>
      <c r="G39" s="33"/>
      <c r="H39" s="32"/>
      <c r="I39" s="33" t="str">
        <f>Source!BO28</f>
        <v>01-02-057-2</v>
      </c>
      <c r="J39" s="33"/>
      <c r="K39" s="32"/>
      <c r="L39" s="34"/>
      <c r="S39">
        <f>ROUND((Source!FX28/100)*((ROUND(Source!AF28*Source!I28, 2)+ROUND(Source!AE28*Source!I28, 2))), 2)</f>
        <v>5599.94</v>
      </c>
      <c r="T39">
        <f>Source!X28</f>
        <v>168278.39999999999</v>
      </c>
      <c r="U39">
        <f>ROUND((Source!FY28/100)*((ROUND(Source!AF28*Source!I28, 2)+ROUND(Source!AE28*Source!I28, 2))), 2)</f>
        <v>2677.47</v>
      </c>
      <c r="V39">
        <f>Source!Y28</f>
        <v>79932.240000000005</v>
      </c>
    </row>
    <row r="40" spans="1:26" ht="28.5" x14ac:dyDescent="0.2">
      <c r="A40" s="48"/>
      <c r="B40" s="49"/>
      <c r="C40" s="49" t="s">
        <v>525</v>
      </c>
      <c r="D40" s="31"/>
      <c r="E40" s="10"/>
      <c r="F40" s="32">
        <f>Source!AO28</f>
        <v>1201.2</v>
      </c>
      <c r="G40" s="33" t="str">
        <f>Source!DG28</f>
        <v>)*1,2)*1,15)*1,15</v>
      </c>
      <c r="H40" s="32">
        <f>ROUND(Source!AF28*Source!I28, 2)</f>
        <v>6999.93</v>
      </c>
      <c r="I40" s="33"/>
      <c r="J40" s="33">
        <f>IF(Source!BA28&lt;&gt; 0, Source!BA28, 1)</f>
        <v>30.05</v>
      </c>
      <c r="K40" s="32">
        <f>Source!S28</f>
        <v>210348</v>
      </c>
      <c r="L40" s="34"/>
      <c r="R40">
        <f>H40</f>
        <v>6999.93</v>
      </c>
    </row>
    <row r="41" spans="1:26" ht="14.25" x14ac:dyDescent="0.2">
      <c r="A41" s="48"/>
      <c r="B41" s="49"/>
      <c r="C41" s="49" t="s">
        <v>526</v>
      </c>
      <c r="D41" s="31" t="s">
        <v>527</v>
      </c>
      <c r="E41" s="10">
        <f>Source!BZ28</f>
        <v>80</v>
      </c>
      <c r="F41" s="53"/>
      <c r="G41" s="33"/>
      <c r="H41" s="32">
        <f>SUM(S39:S43)</f>
        <v>5599.94</v>
      </c>
      <c r="I41" s="35"/>
      <c r="J41" s="30">
        <f>Source!AT28</f>
        <v>80</v>
      </c>
      <c r="K41" s="32">
        <f>SUM(T39:T43)</f>
        <v>168278.39999999999</v>
      </c>
      <c r="L41" s="34"/>
    </row>
    <row r="42" spans="1:26" ht="14.25" x14ac:dyDescent="0.2">
      <c r="A42" s="48"/>
      <c r="B42" s="49"/>
      <c r="C42" s="49" t="s">
        <v>528</v>
      </c>
      <c r="D42" s="31" t="s">
        <v>527</v>
      </c>
      <c r="E42" s="10">
        <f>Source!CA28</f>
        <v>45</v>
      </c>
      <c r="F42" s="85" t="str">
        <f>CONCATENATE(" )", Source!DM28, Source!FU28, "=", Source!FY28)</f>
        <v xml:space="preserve"> )*0,85=38,25</v>
      </c>
      <c r="G42" s="86"/>
      <c r="H42" s="32">
        <f>SUM(U39:U43)</f>
        <v>2677.47</v>
      </c>
      <c r="I42" s="35"/>
      <c r="J42" s="30">
        <f>Source!AU28</f>
        <v>38</v>
      </c>
      <c r="K42" s="32">
        <f>SUM(V39:V43)</f>
        <v>79932.240000000005</v>
      </c>
      <c r="L42" s="34"/>
    </row>
    <row r="43" spans="1:26" ht="28.5" x14ac:dyDescent="0.2">
      <c r="A43" s="50"/>
      <c r="B43" s="51"/>
      <c r="C43" s="51" t="s">
        <v>529</v>
      </c>
      <c r="D43" s="36" t="s">
        <v>530</v>
      </c>
      <c r="E43" s="37">
        <f>Source!AQ28</f>
        <v>154</v>
      </c>
      <c r="F43" s="38"/>
      <c r="G43" s="39" t="str">
        <f>Source!DI28</f>
        <v>)*1,2)*1,15)*1,15</v>
      </c>
      <c r="H43" s="38"/>
      <c r="I43" s="39"/>
      <c r="J43" s="39"/>
      <c r="K43" s="38"/>
      <c r="L43" s="40">
        <f>Source!U28</f>
        <v>897.42945599999985</v>
      </c>
    </row>
    <row r="44" spans="1:26" ht="15" x14ac:dyDescent="0.25">
      <c r="G44" s="81">
        <f>H40+H41+H42</f>
        <v>15277.339999999998</v>
      </c>
      <c r="H44" s="81"/>
      <c r="J44" s="81">
        <f>K40+K41+K42</f>
        <v>458558.64</v>
      </c>
      <c r="K44" s="81"/>
      <c r="L44" s="41">
        <f>Source!U28</f>
        <v>897.42945599999985</v>
      </c>
      <c r="O44" s="26">
        <f>G44</f>
        <v>15277.339999999998</v>
      </c>
      <c r="P44" s="26">
        <f>J44</f>
        <v>458558.64</v>
      </c>
      <c r="Q44" s="26">
        <f>L44</f>
        <v>897.42945599999985</v>
      </c>
      <c r="W44">
        <f>IF(Source!BI28&lt;=1,H40+H41+H42, 0)</f>
        <v>15277.339999999998</v>
      </c>
      <c r="X44">
        <f>IF(Source!BI28=2,H40+H41+H42, 0)</f>
        <v>0</v>
      </c>
      <c r="Y44">
        <f>IF(Source!BI28=3,H40+H41+H42, 0)</f>
        <v>0</v>
      </c>
      <c r="Z44">
        <f>IF(Source!BI28=4,H40+H41+H42, 0)</f>
        <v>0</v>
      </c>
    </row>
    <row r="45" spans="1:26" ht="130.5" x14ac:dyDescent="0.2">
      <c r="A45" s="48" t="str">
        <f>Source!E29</f>
        <v>2</v>
      </c>
      <c r="B45" s="49" t="s">
        <v>531</v>
      </c>
      <c r="C45" s="49" t="str">
        <f>Source!G29</f>
        <v>Засыпка вручную траншей, пазух котлованов и ям, группа грунтов 1</v>
      </c>
      <c r="D45" s="31" t="str">
        <f>Source!H29</f>
        <v>100 м3 грунта</v>
      </c>
      <c r="E45" s="10">
        <f>Source!I29</f>
        <v>2.5224000000000002</v>
      </c>
      <c r="F45" s="32">
        <f>Source!AL29+Source!AM29+Source!AO29</f>
        <v>663.75</v>
      </c>
      <c r="G45" s="33"/>
      <c r="H45" s="32"/>
      <c r="I45" s="33" t="str">
        <f>Source!BO29</f>
        <v>01-02-061-1</v>
      </c>
      <c r="J45" s="33"/>
      <c r="K45" s="32"/>
      <c r="L45" s="34"/>
      <c r="S45">
        <f>ROUND((Source!FX29/100)*((ROUND(Source!AF29*Source!I29, 2)+ROUND(Source!AE29*Source!I29, 2))), 2)</f>
        <v>2125.62</v>
      </c>
      <c r="T45">
        <f>Source!X29</f>
        <v>63874.78</v>
      </c>
      <c r="U45">
        <f>ROUND((Source!FY29/100)*((ROUND(Source!AF29*Source!I29, 2)+ROUND(Source!AE29*Source!I29, 2))), 2)</f>
        <v>1016.31</v>
      </c>
      <c r="V45">
        <f>Source!Y29</f>
        <v>30340.52</v>
      </c>
    </row>
    <row r="46" spans="1:26" ht="28.5" x14ac:dyDescent="0.2">
      <c r="A46" s="48"/>
      <c r="B46" s="49"/>
      <c r="C46" s="49" t="s">
        <v>525</v>
      </c>
      <c r="D46" s="31"/>
      <c r="E46" s="10"/>
      <c r="F46" s="32">
        <f>Source!AO29</f>
        <v>663.75</v>
      </c>
      <c r="G46" s="33" t="str">
        <f>Source!DG29</f>
        <v>)*1,2)*1,15)*1,15</v>
      </c>
      <c r="H46" s="32">
        <f>ROUND(Source!AF29*Source!I29, 2)</f>
        <v>2657.02</v>
      </c>
      <c r="I46" s="33"/>
      <c r="J46" s="33">
        <f>IF(Source!BA29&lt;&gt; 0, Source!BA29, 1)</f>
        <v>30.05</v>
      </c>
      <c r="K46" s="32">
        <f>Source!S29</f>
        <v>79843.47</v>
      </c>
      <c r="L46" s="34"/>
      <c r="R46">
        <f>H46</f>
        <v>2657.02</v>
      </c>
    </row>
    <row r="47" spans="1:26" ht="14.25" x14ac:dyDescent="0.2">
      <c r="A47" s="48"/>
      <c r="B47" s="49"/>
      <c r="C47" s="49" t="s">
        <v>526</v>
      </c>
      <c r="D47" s="31" t="s">
        <v>527</v>
      </c>
      <c r="E47" s="10">
        <f>Source!BZ29</f>
        <v>80</v>
      </c>
      <c r="F47" s="53"/>
      <c r="G47" s="33"/>
      <c r="H47" s="32">
        <f>SUM(S45:S49)</f>
        <v>2125.62</v>
      </c>
      <c r="I47" s="35"/>
      <c r="J47" s="30">
        <f>Source!AT29</f>
        <v>80</v>
      </c>
      <c r="K47" s="32">
        <f>SUM(T45:T49)</f>
        <v>63874.78</v>
      </c>
      <c r="L47" s="34"/>
    </row>
    <row r="48" spans="1:26" ht="14.25" x14ac:dyDescent="0.2">
      <c r="A48" s="48"/>
      <c r="B48" s="49"/>
      <c r="C48" s="49" t="s">
        <v>528</v>
      </c>
      <c r="D48" s="31" t="s">
        <v>527</v>
      </c>
      <c r="E48" s="10">
        <f>Source!CA29</f>
        <v>45</v>
      </c>
      <c r="F48" s="85" t="str">
        <f>CONCATENATE(" )", Source!DM29, Source!FU29, "=", Source!FY29)</f>
        <v xml:space="preserve"> )*0,85=38,25</v>
      </c>
      <c r="G48" s="86"/>
      <c r="H48" s="32">
        <f>SUM(U45:U49)</f>
        <v>1016.31</v>
      </c>
      <c r="I48" s="35"/>
      <c r="J48" s="30">
        <f>Source!AU29</f>
        <v>38</v>
      </c>
      <c r="K48" s="32">
        <f>SUM(V45:V49)</f>
        <v>30340.52</v>
      </c>
      <c r="L48" s="34"/>
    </row>
    <row r="49" spans="1:26" ht="28.5" x14ac:dyDescent="0.2">
      <c r="A49" s="50"/>
      <c r="B49" s="51"/>
      <c r="C49" s="51" t="s">
        <v>529</v>
      </c>
      <c r="D49" s="36" t="s">
        <v>530</v>
      </c>
      <c r="E49" s="37">
        <f>Source!AQ29</f>
        <v>88.5</v>
      </c>
      <c r="F49" s="38"/>
      <c r="G49" s="39" t="str">
        <f>Source!DI29</f>
        <v>)*1,2)*1,15)*1,15</v>
      </c>
      <c r="H49" s="38"/>
      <c r="I49" s="39"/>
      <c r="J49" s="39"/>
      <c r="K49" s="38"/>
      <c r="L49" s="40">
        <f>Source!U29</f>
        <v>354.26981879999994</v>
      </c>
    </row>
    <row r="50" spans="1:26" ht="15" x14ac:dyDescent="0.25">
      <c r="G50" s="81">
        <f>H46+H47+H48</f>
        <v>5798.9499999999989</v>
      </c>
      <c r="H50" s="81"/>
      <c r="J50" s="81">
        <f>K46+K47+K48</f>
        <v>174058.77</v>
      </c>
      <c r="K50" s="81"/>
      <c r="L50" s="41">
        <f>Source!U29</f>
        <v>354.26981879999994</v>
      </c>
      <c r="O50" s="26">
        <f>G50</f>
        <v>5798.9499999999989</v>
      </c>
      <c r="P50" s="26">
        <f>J50</f>
        <v>174058.77</v>
      </c>
      <c r="Q50" s="26">
        <f>L50</f>
        <v>354.26981879999994</v>
      </c>
      <c r="W50">
        <f>IF(Source!BI29&lt;=1,H46+H47+H48, 0)</f>
        <v>5798.9499999999989</v>
      </c>
      <c r="X50">
        <f>IF(Source!BI29=2,H46+H47+H48, 0)</f>
        <v>0</v>
      </c>
      <c r="Y50">
        <f>IF(Source!BI29=3,H46+H47+H48, 0)</f>
        <v>0</v>
      </c>
      <c r="Z50">
        <f>IF(Source!BI29=4,H46+H47+H48, 0)</f>
        <v>0</v>
      </c>
    </row>
    <row r="51" spans="1:26" ht="105" x14ac:dyDescent="0.2">
      <c r="A51" s="48" t="str">
        <f>Source!E30</f>
        <v>3</v>
      </c>
      <c r="B51" s="49" t="s">
        <v>532</v>
      </c>
      <c r="C51" s="49" t="str">
        <f>Source!G30</f>
        <v>Погрузка при автомобильных перевозках грунта растительного слоя (земля, перегной)</v>
      </c>
      <c r="D51" s="31" t="str">
        <f>Source!H30</f>
        <v>1 Т ГРУЗА</v>
      </c>
      <c r="E51" s="10">
        <f>Source!I30</f>
        <v>201.18</v>
      </c>
      <c r="F51" s="32">
        <f>Source!AL30+Source!AM30+Source!AO30</f>
        <v>3.65</v>
      </c>
      <c r="G51" s="33"/>
      <c r="H51" s="32"/>
      <c r="I51" s="33" t="str">
        <f>Source!BO30</f>
        <v>т01-01-01-039</v>
      </c>
      <c r="J51" s="33"/>
      <c r="K51" s="32"/>
      <c r="L51" s="34"/>
      <c r="S51">
        <f>ROUND((Source!FX30/100)*((ROUND(Source!AF30*Source!I30, 2)+ROUND(Source!AE30*Source!I30, 2))), 2)</f>
        <v>0</v>
      </c>
      <c r="T51">
        <f>Source!X30</f>
        <v>0</v>
      </c>
      <c r="U51">
        <f>ROUND((Source!FY30/100)*((ROUND(Source!AF30*Source!I30, 2)+ROUND(Source!AE30*Source!I30, 2))), 2)</f>
        <v>0</v>
      </c>
      <c r="V51">
        <f>Source!Y30</f>
        <v>0</v>
      </c>
    </row>
    <row r="52" spans="1:26" ht="14.25" x14ac:dyDescent="0.2">
      <c r="A52" s="48"/>
      <c r="B52" s="49"/>
      <c r="C52" s="49" t="s">
        <v>151</v>
      </c>
      <c r="D52" s="31"/>
      <c r="E52" s="10"/>
      <c r="F52" s="32">
        <f>Source!AM30</f>
        <v>3.65</v>
      </c>
      <c r="G52" s="33" t="str">
        <f>Source!DE30</f>
        <v>)*1,2)*1,15</v>
      </c>
      <c r="H52" s="32">
        <f>ROUND(Source!AD30*Source!I30, 2)</f>
        <v>1186.96</v>
      </c>
      <c r="I52" s="33"/>
      <c r="J52" s="33">
        <f>IF(Source!BB30&lt;&gt; 0, Source!BB30, 1)</f>
        <v>12.57</v>
      </c>
      <c r="K52" s="32">
        <f>Source!Q30</f>
        <v>14920.11</v>
      </c>
      <c r="L52" s="34"/>
    </row>
    <row r="53" spans="1:26" ht="14.25" x14ac:dyDescent="0.2">
      <c r="A53" s="50"/>
      <c r="B53" s="51"/>
      <c r="C53" s="51" t="s">
        <v>533</v>
      </c>
      <c r="D53" s="36"/>
      <c r="E53" s="37"/>
      <c r="F53" s="38">
        <f>Source!AN30</f>
        <v>0.39</v>
      </c>
      <c r="G53" s="39" t="str">
        <f>Source!DF30</f>
        <v>)*1,2)*1,15</v>
      </c>
      <c r="H53" s="42">
        <f>ROUND(Source!AE30*Source!I30, 2)</f>
        <v>281.64999999999998</v>
      </c>
      <c r="I53" s="39"/>
      <c r="J53" s="39">
        <f>IF(Source!BS30&lt;&gt; 0, Source!BS30, 1)</f>
        <v>12.57</v>
      </c>
      <c r="K53" s="42">
        <f>Source!R30</f>
        <v>3540.37</v>
      </c>
      <c r="L53" s="43"/>
      <c r="R53">
        <f>H53</f>
        <v>281.64999999999998</v>
      </c>
    </row>
    <row r="54" spans="1:26" ht="15" x14ac:dyDescent="0.25">
      <c r="G54" s="81">
        <f>H52</f>
        <v>1186.96</v>
      </c>
      <c r="H54" s="81"/>
      <c r="J54" s="81">
        <f>K52</f>
        <v>14920.11</v>
      </c>
      <c r="K54" s="81"/>
      <c r="L54" s="41">
        <f>Source!U30</f>
        <v>0</v>
      </c>
      <c r="O54" s="26">
        <f>G54</f>
        <v>1186.96</v>
      </c>
      <c r="P54" s="26">
        <f>J54</f>
        <v>14920.11</v>
      </c>
      <c r="Q54" s="26">
        <f>L54</f>
        <v>0</v>
      </c>
      <c r="W54">
        <f>IF(Source!BI30&lt;=1,H52, 0)</f>
        <v>1186.96</v>
      </c>
      <c r="X54">
        <f>IF(Source!BI30=2,H52, 0)</f>
        <v>0</v>
      </c>
      <c r="Y54">
        <f>IF(Source!BI30=3,H52, 0)</f>
        <v>0</v>
      </c>
      <c r="Z54">
        <f>IF(Source!BI30=4,H52, 0)</f>
        <v>0</v>
      </c>
    </row>
    <row r="55" spans="1:26" ht="57" x14ac:dyDescent="0.2">
      <c r="A55" s="48" t="str">
        <f>Source!E31</f>
        <v>4</v>
      </c>
      <c r="B55" s="49" t="s">
        <v>534</v>
      </c>
      <c r="C55" s="49" t="str">
        <f>Source!G31</f>
        <v>Перевозка грузов I класса автомобилями-самосвалами грузоподъемностью 10 т работающих вне карьера на расстояние до 25 км</v>
      </c>
      <c r="D55" s="31" t="str">
        <f>Source!H31</f>
        <v>1 Т ГРУЗА</v>
      </c>
      <c r="E55" s="10">
        <f>Source!I31</f>
        <v>201.18</v>
      </c>
      <c r="F55" s="32">
        <f>Source!AL31+Source!AM31+Source!AO31</f>
        <v>17.32</v>
      </c>
      <c r="G55" s="33"/>
      <c r="H55" s="32"/>
      <c r="I55" s="33" t="str">
        <f>Source!BO31</f>
        <v/>
      </c>
      <c r="J55" s="33"/>
      <c r="K55" s="32"/>
      <c r="L55" s="34"/>
      <c r="S55">
        <f>ROUND((Source!FX31/100)*((ROUND(Source!AF31*Source!I31, 2)+ROUND(Source!AE31*Source!I31, 2))), 2)</f>
        <v>0</v>
      </c>
      <c r="T55">
        <f>Source!X31</f>
        <v>0</v>
      </c>
      <c r="U55">
        <f>ROUND((Source!FY31/100)*((ROUND(Source!AF31*Source!I31, 2)+ROUND(Source!AE31*Source!I31, 2))), 2)</f>
        <v>0</v>
      </c>
      <c r="V55">
        <f>Source!Y31</f>
        <v>0</v>
      </c>
    </row>
    <row r="56" spans="1:26" ht="14.25" x14ac:dyDescent="0.2">
      <c r="A56" s="50"/>
      <c r="B56" s="51"/>
      <c r="C56" s="51" t="s">
        <v>151</v>
      </c>
      <c r="D56" s="36"/>
      <c r="E56" s="37"/>
      <c r="F56" s="38">
        <f>Source!AM31</f>
        <v>17.32</v>
      </c>
      <c r="G56" s="39" t="str">
        <f>Source!DE31</f>
        <v/>
      </c>
      <c r="H56" s="38">
        <f>ROUND(Source!AD31*Source!I31, 2)</f>
        <v>3484.44</v>
      </c>
      <c r="I56" s="39"/>
      <c r="J56" s="39">
        <f>IF(Source!BB31&lt;&gt; 0, Source!BB31, 1)</f>
        <v>8.56</v>
      </c>
      <c r="K56" s="38">
        <f>Source!Q31</f>
        <v>29826.79</v>
      </c>
      <c r="L56" s="43"/>
    </row>
    <row r="57" spans="1:26" ht="15" x14ac:dyDescent="0.25">
      <c r="G57" s="81">
        <f>H56</f>
        <v>3484.44</v>
      </c>
      <c r="H57" s="81"/>
      <c r="J57" s="81">
        <f>K56</f>
        <v>29826.79</v>
      </c>
      <c r="K57" s="81"/>
      <c r="L57" s="41">
        <f>Source!U31</f>
        <v>0</v>
      </c>
      <c r="O57" s="26">
        <f>G57</f>
        <v>3484.44</v>
      </c>
      <c r="P57" s="26">
        <f>J57</f>
        <v>29826.79</v>
      </c>
      <c r="Q57" s="26">
        <f>L57</f>
        <v>0</v>
      </c>
      <c r="W57">
        <f>IF(Source!BI31&lt;=1,H56, 0)</f>
        <v>3484.44</v>
      </c>
      <c r="X57">
        <f>IF(Source!BI31=2,H56, 0)</f>
        <v>0</v>
      </c>
      <c r="Y57">
        <f>IF(Source!BI31=3,H56, 0)</f>
        <v>0</v>
      </c>
      <c r="Z57">
        <f>IF(Source!BI31=4,H56, 0)</f>
        <v>0</v>
      </c>
    </row>
    <row r="58" spans="1:26" ht="130.5" x14ac:dyDescent="0.2">
      <c r="A58" s="48" t="str">
        <f>Source!E32</f>
        <v>5</v>
      </c>
      <c r="B58" s="49" t="s">
        <v>535</v>
      </c>
      <c r="C58" s="49" t="str">
        <f>Source!G32</f>
        <v>Устройство трубопроводов из хризотилцементных труб с соединением полиэтиленовыми муфтами до 2 отверстий</v>
      </c>
      <c r="D58" s="31" t="str">
        <f>Source!H32</f>
        <v>1 канало-километр трубопровода</v>
      </c>
      <c r="E58" s="10">
        <f>Source!I32</f>
        <v>0.06</v>
      </c>
      <c r="F58" s="32">
        <f>Source!AL32+Source!AM32+Source!AO32</f>
        <v>17107.88</v>
      </c>
      <c r="G58" s="33"/>
      <c r="H58" s="32"/>
      <c r="I58" s="33" t="str">
        <f>Source!BO32</f>
        <v>34-02-001-3</v>
      </c>
      <c r="J58" s="33"/>
      <c r="K58" s="32"/>
      <c r="L58" s="34"/>
      <c r="S58">
        <f>ROUND((Source!FX32/100)*((ROUND(Source!AF32*Source!I32, 2)+ROUND(Source!AE32*Source!I32, 2))), 2)</f>
        <v>116</v>
      </c>
      <c r="T58">
        <f>Source!X32</f>
        <v>3485.83</v>
      </c>
      <c r="U58">
        <f>ROUND((Source!FY32/100)*((ROUND(Source!AF32*Source!I32, 2)+ROUND(Source!AE32*Source!I32, 2))), 2)</f>
        <v>64.09</v>
      </c>
      <c r="V58">
        <f>Source!Y32</f>
        <v>1917.21</v>
      </c>
    </row>
    <row r="59" spans="1:26" ht="28.5" x14ac:dyDescent="0.2">
      <c r="A59" s="48"/>
      <c r="B59" s="49"/>
      <c r="C59" s="49" t="s">
        <v>525</v>
      </c>
      <c r="D59" s="31"/>
      <c r="E59" s="10"/>
      <c r="F59" s="32">
        <f>Source!AO32</f>
        <v>1218.24</v>
      </c>
      <c r="G59" s="33" t="str">
        <f>Source!DG32</f>
        <v>)*1,2)*1,15)*1,15</v>
      </c>
      <c r="H59" s="32">
        <f>ROUND(Source!AF32*Source!I32, 2)</f>
        <v>116</v>
      </c>
      <c r="I59" s="33"/>
      <c r="J59" s="33">
        <f>IF(Source!BA32&lt;&gt; 0, Source!BA32, 1)</f>
        <v>30.05</v>
      </c>
      <c r="K59" s="32">
        <f>Source!S32</f>
        <v>3485.83</v>
      </c>
      <c r="L59" s="34"/>
      <c r="R59">
        <f>H59</f>
        <v>116</v>
      </c>
    </row>
    <row r="60" spans="1:26" ht="14.25" x14ac:dyDescent="0.2">
      <c r="A60" s="48"/>
      <c r="B60" s="49"/>
      <c r="C60" s="49" t="s">
        <v>536</v>
      </c>
      <c r="D60" s="31"/>
      <c r="E60" s="10"/>
      <c r="F60" s="32">
        <f>Source!AL32</f>
        <v>15889.64</v>
      </c>
      <c r="G60" s="33" t="str">
        <f>Source!DD32</f>
        <v/>
      </c>
      <c r="H60" s="32">
        <f>ROUND(Source!AC32*Source!I32, 2)</f>
        <v>953.38</v>
      </c>
      <c r="I60" s="33"/>
      <c r="J60" s="33">
        <f>IF(Source!BC32&lt;&gt; 0, Source!BC32, 1)</f>
        <v>5.86</v>
      </c>
      <c r="K60" s="32">
        <f>Source!P32</f>
        <v>5586.8</v>
      </c>
      <c r="L60" s="34"/>
    </row>
    <row r="61" spans="1:26" ht="14.25" x14ac:dyDescent="0.2">
      <c r="A61" s="48"/>
      <c r="B61" s="49"/>
      <c r="C61" s="49" t="s">
        <v>526</v>
      </c>
      <c r="D61" s="31" t="s">
        <v>527</v>
      </c>
      <c r="E61" s="10">
        <f>Source!BZ32</f>
        <v>100</v>
      </c>
      <c r="F61" s="53"/>
      <c r="G61" s="33"/>
      <c r="H61" s="32">
        <f>SUM(S58:S63)</f>
        <v>116</v>
      </c>
      <c r="I61" s="35"/>
      <c r="J61" s="30">
        <f>Source!AT32</f>
        <v>100</v>
      </c>
      <c r="K61" s="32">
        <f>SUM(T58:T63)</f>
        <v>3485.83</v>
      </c>
      <c r="L61" s="34"/>
    </row>
    <row r="62" spans="1:26" ht="14.25" x14ac:dyDescent="0.2">
      <c r="A62" s="48"/>
      <c r="B62" s="49"/>
      <c r="C62" s="49" t="s">
        <v>528</v>
      </c>
      <c r="D62" s="31" t="s">
        <v>527</v>
      </c>
      <c r="E62" s="10">
        <f>Source!CA32</f>
        <v>65</v>
      </c>
      <c r="F62" s="85" t="str">
        <f>CONCATENATE(" )", Source!DM32, Source!FU32, "=", Source!FY32)</f>
        <v xml:space="preserve"> )*0,85=55,25</v>
      </c>
      <c r="G62" s="86"/>
      <c r="H62" s="32">
        <f>SUM(U58:U63)</f>
        <v>64.09</v>
      </c>
      <c r="I62" s="35"/>
      <c r="J62" s="30">
        <f>Source!AU32</f>
        <v>55</v>
      </c>
      <c r="K62" s="32">
        <f>SUM(V58:V63)</f>
        <v>1917.21</v>
      </c>
      <c r="L62" s="34"/>
    </row>
    <row r="63" spans="1:26" ht="28.5" x14ac:dyDescent="0.2">
      <c r="A63" s="50"/>
      <c r="B63" s="51"/>
      <c r="C63" s="51" t="s">
        <v>529</v>
      </c>
      <c r="D63" s="36" t="s">
        <v>530</v>
      </c>
      <c r="E63" s="37">
        <f>Source!AQ32</f>
        <v>144</v>
      </c>
      <c r="F63" s="38"/>
      <c r="G63" s="39" t="str">
        <f>Source!DI32</f>
        <v>)*1,2)*1,15)*1,15</v>
      </c>
      <c r="H63" s="38"/>
      <c r="I63" s="39"/>
      <c r="J63" s="39"/>
      <c r="K63" s="38"/>
      <c r="L63" s="40">
        <f>Source!U32</f>
        <v>13.711679999999996</v>
      </c>
    </row>
    <row r="64" spans="1:26" ht="15" x14ac:dyDescent="0.25">
      <c r="G64" s="81">
        <f>H59+H60+H61+H62</f>
        <v>1249.47</v>
      </c>
      <c r="H64" s="81"/>
      <c r="J64" s="81">
        <f>K59+K60+K61+K62</f>
        <v>14475.670000000002</v>
      </c>
      <c r="K64" s="81"/>
      <c r="L64" s="41">
        <f>Source!U32</f>
        <v>13.711679999999996</v>
      </c>
      <c r="O64" s="26">
        <f>G64</f>
        <v>1249.47</v>
      </c>
      <c r="P64" s="26">
        <f>J64</f>
        <v>14475.670000000002</v>
      </c>
      <c r="Q64" s="26">
        <f>L64</f>
        <v>13.711679999999996</v>
      </c>
      <c r="W64">
        <f>IF(Source!BI32&lt;=1,H59+H60+H61+H62, 0)</f>
        <v>1249.47</v>
      </c>
      <c r="X64">
        <f>IF(Source!BI32=2,H59+H60+H61+H62, 0)</f>
        <v>0</v>
      </c>
      <c r="Y64">
        <f>IF(Source!BI32=3,H59+H60+H61+H62, 0)</f>
        <v>0</v>
      </c>
      <c r="Z64">
        <f>IF(Source!BI32=4,H59+H60+H61+H62, 0)</f>
        <v>0</v>
      </c>
    </row>
    <row r="65" spans="1:26" ht="105" x14ac:dyDescent="0.2">
      <c r="A65" s="48" t="str">
        <f>Source!E33</f>
        <v>6</v>
      </c>
      <c r="B65" s="49" t="s">
        <v>537</v>
      </c>
      <c r="C65" s="49" t="str">
        <f>Source!G33</f>
        <v>Герметизация канала кабельной канализации занятого</v>
      </c>
      <c r="D65" s="31" t="str">
        <f>Source!H33</f>
        <v>1 канал</v>
      </c>
      <c r="E65" s="10">
        <f>Source!I33</f>
        <v>10</v>
      </c>
      <c r="F65" s="32">
        <f>Source!AL33+Source!AM33+Source!AO33</f>
        <v>138.57000000000002</v>
      </c>
      <c r="G65" s="33"/>
      <c r="H65" s="32"/>
      <c r="I65" s="33" t="str">
        <f>Source!BO33</f>
        <v>м10-06-034-28</v>
      </c>
      <c r="J65" s="33"/>
      <c r="K65" s="32"/>
      <c r="L65" s="34"/>
      <c r="S65">
        <f>ROUND((Source!FX33/100)*((ROUND(Source!AF33*Source!I33, 2)+ROUND(Source!AE33*Source!I33, 2))), 2)</f>
        <v>70.5</v>
      </c>
      <c r="T65">
        <f>Source!X33</f>
        <v>2118.5300000000002</v>
      </c>
      <c r="U65">
        <f>ROUND((Source!FY33/100)*((ROUND(Source!AF33*Source!I33, 2)+ROUND(Source!AE33*Source!I33, 2))), 2)</f>
        <v>45.83</v>
      </c>
      <c r="V65">
        <f>Source!Y33</f>
        <v>1377.04</v>
      </c>
    </row>
    <row r="66" spans="1:26" ht="14.25" x14ac:dyDescent="0.2">
      <c r="A66" s="48"/>
      <c r="B66" s="49"/>
      <c r="C66" s="49" t="s">
        <v>525</v>
      </c>
      <c r="D66" s="31"/>
      <c r="E66" s="10"/>
      <c r="F66" s="32">
        <f>Source!AO33</f>
        <v>5.1100000000000003</v>
      </c>
      <c r="G66" s="33" t="str">
        <f>Source!DG33</f>
        <v>)*1,2)*1,15</v>
      </c>
      <c r="H66" s="32">
        <f>ROUND(Source!AF33*Source!I33, 2)</f>
        <v>70.5</v>
      </c>
      <c r="I66" s="33"/>
      <c r="J66" s="33">
        <f>IF(Source!BA33&lt;&gt; 0, Source!BA33, 1)</f>
        <v>30.05</v>
      </c>
      <c r="K66" s="32">
        <f>Source!S33</f>
        <v>2118.5300000000002</v>
      </c>
      <c r="L66" s="34"/>
      <c r="R66">
        <f>H66</f>
        <v>70.5</v>
      </c>
    </row>
    <row r="67" spans="1:26" ht="14.25" x14ac:dyDescent="0.2">
      <c r="A67" s="48"/>
      <c r="B67" s="49"/>
      <c r="C67" s="49" t="s">
        <v>536</v>
      </c>
      <c r="D67" s="31"/>
      <c r="E67" s="10"/>
      <c r="F67" s="32">
        <f>Source!AL33</f>
        <v>133.46</v>
      </c>
      <c r="G67" s="33" t="str">
        <f>Source!DD33</f>
        <v/>
      </c>
      <c r="H67" s="32">
        <f>ROUND(Source!AC33*Source!I33, 2)</f>
        <v>1334.6</v>
      </c>
      <c r="I67" s="33"/>
      <c r="J67" s="33">
        <f>IF(Source!BC33&lt;&gt; 0, Source!BC33, 1)</f>
        <v>2.93</v>
      </c>
      <c r="K67" s="32">
        <f>Source!P33</f>
        <v>3910.38</v>
      </c>
      <c r="L67" s="34"/>
    </row>
    <row r="68" spans="1:26" ht="14.25" x14ac:dyDescent="0.2">
      <c r="A68" s="48"/>
      <c r="B68" s="49"/>
      <c r="C68" s="49" t="s">
        <v>526</v>
      </c>
      <c r="D68" s="31" t="s">
        <v>527</v>
      </c>
      <c r="E68" s="10">
        <f>Source!BZ33</f>
        <v>100</v>
      </c>
      <c r="F68" s="53"/>
      <c r="G68" s="33"/>
      <c r="H68" s="32">
        <f>SUM(S65:S72)</f>
        <v>70.5</v>
      </c>
      <c r="I68" s="35"/>
      <c r="J68" s="30">
        <f>Source!AT33</f>
        <v>100</v>
      </c>
      <c r="K68" s="32">
        <f>SUM(T65:T72)</f>
        <v>2118.5300000000002</v>
      </c>
      <c r="L68" s="34"/>
    </row>
    <row r="69" spans="1:26" ht="14.25" x14ac:dyDescent="0.2">
      <c r="A69" s="48"/>
      <c r="B69" s="49"/>
      <c r="C69" s="49" t="s">
        <v>528</v>
      </c>
      <c r="D69" s="31" t="s">
        <v>527</v>
      </c>
      <c r="E69" s="10">
        <f>Source!CA33</f>
        <v>65</v>
      </c>
      <c r="F69" s="53"/>
      <c r="G69" s="33"/>
      <c r="H69" s="32">
        <f>SUM(U65:U72)</f>
        <v>45.83</v>
      </c>
      <c r="I69" s="35"/>
      <c r="J69" s="30">
        <f>Source!AU33</f>
        <v>65</v>
      </c>
      <c r="K69" s="32">
        <f>SUM(V65:V72)</f>
        <v>1377.04</v>
      </c>
      <c r="L69" s="34"/>
    </row>
    <row r="70" spans="1:26" ht="14.25" x14ac:dyDescent="0.2">
      <c r="A70" s="48"/>
      <c r="B70" s="49"/>
      <c r="C70" s="49" t="s">
        <v>529</v>
      </c>
      <c r="D70" s="31" t="s">
        <v>530</v>
      </c>
      <c r="E70" s="10">
        <f>Source!AQ33</f>
        <v>0.55000000000000004</v>
      </c>
      <c r="F70" s="32"/>
      <c r="G70" s="33" t="str">
        <f>Source!DI33</f>
        <v>)*1,2)*1,15</v>
      </c>
      <c r="H70" s="32"/>
      <c r="I70" s="33"/>
      <c r="J70" s="33"/>
      <c r="K70" s="32"/>
      <c r="L70" s="44">
        <f>Source!U33</f>
        <v>7.59</v>
      </c>
    </row>
    <row r="71" spans="1:26" ht="28.5" x14ac:dyDescent="0.2">
      <c r="A71" s="48" t="str">
        <f>Source!E34</f>
        <v>6,1</v>
      </c>
      <c r="B71" s="49" t="s">
        <v>538</v>
      </c>
      <c r="C71" s="49" t="str">
        <f>Source!G34</f>
        <v>Пенополиуретан (ППУ) полимер Вилан-405 (баллон 1л)</v>
      </c>
      <c r="D71" s="31" t="str">
        <f>Source!H34</f>
        <v>шт.</v>
      </c>
      <c r="E71" s="10">
        <f>Source!I34</f>
        <v>-20</v>
      </c>
      <c r="F71" s="32">
        <f>Source!AL34+Source!AM34+Source!AO34</f>
        <v>66.680000000000007</v>
      </c>
      <c r="G71" s="45" t="s">
        <v>6</v>
      </c>
      <c r="H71" s="32">
        <f>ROUND(Source!AC34*Source!I34, 2)+ROUND(Source!AD34*Source!I34, 2)+ROUND(Source!AF34*Source!I34, 2)</f>
        <v>-1333.6</v>
      </c>
      <c r="I71" s="33"/>
      <c r="J71" s="33">
        <f>IF(Source!BC34&lt;&gt; 0, Source!BC34, 1)</f>
        <v>2.91</v>
      </c>
      <c r="K71" s="32">
        <f>Source!O34</f>
        <v>-3880.78</v>
      </c>
      <c r="L71" s="34"/>
      <c r="S71">
        <f>ROUND((Source!FX34/100)*((ROUND(Source!AF34*Source!I34, 2)+ROUND(Source!AE34*Source!I34, 2))), 2)</f>
        <v>0</v>
      </c>
      <c r="T71">
        <f>Source!X34</f>
        <v>0</v>
      </c>
      <c r="U71">
        <f>ROUND((Source!FY34/100)*((ROUND(Source!AF34*Source!I34, 2)+ROUND(Source!AE34*Source!I34, 2))), 2)</f>
        <v>0</v>
      </c>
      <c r="V71">
        <f>Source!Y34</f>
        <v>0</v>
      </c>
      <c r="W71">
        <f>IF(Source!BI34&lt;=1,H71, 0)</f>
        <v>0</v>
      </c>
      <c r="X71">
        <f>IF(Source!BI34=2,H71, 0)</f>
        <v>-1333.6</v>
      </c>
      <c r="Y71">
        <f>IF(Source!BI34=3,H71, 0)</f>
        <v>0</v>
      </c>
      <c r="Z71">
        <f>IF(Source!BI34=4,H71, 0)</f>
        <v>0</v>
      </c>
    </row>
    <row r="72" spans="1:26" ht="156.75" x14ac:dyDescent="0.2">
      <c r="A72" s="50" t="str">
        <f>Source!E35</f>
        <v>6,2</v>
      </c>
      <c r="B72" s="51" t="s">
        <v>86</v>
      </c>
      <c r="C72" s="51" t="str">
        <f>Source!G35</f>
        <v>Уплотнитель кабельных проходов термоусаживаемый УКПТ 175/55/300</v>
      </c>
      <c r="D72" s="36" t="str">
        <f>Source!H35</f>
        <v>шт.</v>
      </c>
      <c r="E72" s="37">
        <f>Source!I35</f>
        <v>20</v>
      </c>
      <c r="F72" s="38">
        <f>Source!AL35+Source!AM35+Source!AO35</f>
        <v>352.18</v>
      </c>
      <c r="G72" s="46" t="s">
        <v>6</v>
      </c>
      <c r="H72" s="38">
        <f>ROUND(Source!AC35*Source!I35, 2)+ROUND(Source!AD35*Source!I35, 2)+ROUND(Source!AF35*Source!I35, 2)</f>
        <v>7043.6</v>
      </c>
      <c r="I72" s="39"/>
      <c r="J72" s="39">
        <f>IF(Source!BC35&lt;&gt; 0, Source!BC35, 1)</f>
        <v>1</v>
      </c>
      <c r="K72" s="38">
        <f>Source!O35</f>
        <v>7043.6</v>
      </c>
      <c r="L72" s="43"/>
      <c r="S72">
        <f>ROUND((Source!FX35/100)*((ROUND(Source!AF35*Source!I35, 2)+ROUND(Source!AE35*Source!I35, 2))), 2)</f>
        <v>0</v>
      </c>
      <c r="T72">
        <f>Source!X35</f>
        <v>0</v>
      </c>
      <c r="U72">
        <f>ROUND((Source!FY35/100)*((ROUND(Source!AF35*Source!I35, 2)+ROUND(Source!AE35*Source!I35, 2))), 2)</f>
        <v>0</v>
      </c>
      <c r="V72">
        <f>Source!Y35</f>
        <v>0</v>
      </c>
      <c r="W72">
        <f>IF(Source!BI35&lt;=1,H72, 0)</f>
        <v>0</v>
      </c>
      <c r="X72">
        <f>IF(Source!BI35=2,H72, 0)</f>
        <v>7043.6</v>
      </c>
      <c r="Y72">
        <f>IF(Source!BI35=3,H72, 0)</f>
        <v>0</v>
      </c>
      <c r="Z72">
        <f>IF(Source!BI35=4,H72, 0)</f>
        <v>0</v>
      </c>
    </row>
    <row r="73" spans="1:26" ht="15" x14ac:dyDescent="0.25">
      <c r="G73" s="81">
        <f>H66+H67+H68+H69+SUM(H71:H72)</f>
        <v>7231.43</v>
      </c>
      <c r="H73" s="81"/>
      <c r="J73" s="81">
        <f>K66+K67+K68+K69+SUM(K71:K72)</f>
        <v>12687.3</v>
      </c>
      <c r="K73" s="81"/>
      <c r="L73" s="41">
        <f>Source!U33</f>
        <v>7.59</v>
      </c>
      <c r="O73" s="26">
        <f>G73</f>
        <v>7231.43</v>
      </c>
      <c r="P73" s="26">
        <f>J73</f>
        <v>12687.3</v>
      </c>
      <c r="Q73" s="26">
        <f>L73</f>
        <v>7.59</v>
      </c>
      <c r="W73">
        <f>IF(Source!BI33&lt;=1,H66+H67+H68+H69, 0)</f>
        <v>0</v>
      </c>
      <c r="X73">
        <f>IF(Source!BI33=2,H66+H67+H68+H69, 0)</f>
        <v>1521.4299999999998</v>
      </c>
      <c r="Y73">
        <f>IF(Source!BI33=3,H66+H67+H68+H69, 0)</f>
        <v>0</v>
      </c>
      <c r="Z73">
        <f>IF(Source!BI33=4,H66+H67+H68+H69, 0)</f>
        <v>0</v>
      </c>
    </row>
    <row r="74" spans="1:26" ht="105" x14ac:dyDescent="0.2">
      <c r="A74" s="48" t="str">
        <f>Source!E36</f>
        <v>7</v>
      </c>
      <c r="B74" s="49" t="s">
        <v>539</v>
      </c>
      <c r="C74" s="49" t="str">
        <f>Source!G36</f>
        <v>Труба стальная по установленным конструкциям, в готовых бороздах, по основанию пола, диаметр до 100 мм</v>
      </c>
      <c r="D74" s="31" t="str">
        <f>Source!H36</f>
        <v>100 м</v>
      </c>
      <c r="E74" s="10">
        <f>Source!I36</f>
        <v>1</v>
      </c>
      <c r="F74" s="32">
        <f>Source!AL36+Source!AM36+Source!AO36</f>
        <v>898.19</v>
      </c>
      <c r="G74" s="33"/>
      <c r="H74" s="32"/>
      <c r="I74" s="33" t="str">
        <f>Source!BO36</f>
        <v>м08-02-407-10</v>
      </c>
      <c r="J74" s="33"/>
      <c r="K74" s="32"/>
      <c r="L74" s="34"/>
      <c r="S74">
        <f>ROUND((Source!FX36/100)*((ROUND(Source!AF36*Source!I36, 2)+ROUND(Source!AE36*Source!I36, 2))), 2)</f>
        <v>564.03</v>
      </c>
      <c r="T74">
        <f>Source!X36</f>
        <v>16949.23</v>
      </c>
      <c r="U74">
        <f>ROUND((Source!FY36/100)*((ROUND(Source!AF36*Source!I36, 2)+ROUND(Source!AE36*Source!I36, 2))), 2)</f>
        <v>385.92</v>
      </c>
      <c r="V74">
        <f>Source!Y36</f>
        <v>11596.84</v>
      </c>
    </row>
    <row r="75" spans="1:26" ht="14.25" x14ac:dyDescent="0.2">
      <c r="A75" s="48"/>
      <c r="B75" s="49"/>
      <c r="C75" s="49" t="s">
        <v>525</v>
      </c>
      <c r="D75" s="31"/>
      <c r="E75" s="10"/>
      <c r="F75" s="32">
        <f>Source!AO36</f>
        <v>409.84</v>
      </c>
      <c r="G75" s="33" t="str">
        <f>Source!DG36</f>
        <v>)*1,2)*1,15</v>
      </c>
      <c r="H75" s="32">
        <f>ROUND(Source!AF36*Source!I36, 2)</f>
        <v>565.58000000000004</v>
      </c>
      <c r="I75" s="33"/>
      <c r="J75" s="33">
        <f>IF(Source!BA36&lt;&gt; 0, Source!BA36, 1)</f>
        <v>30.05</v>
      </c>
      <c r="K75" s="32">
        <f>Source!S36</f>
        <v>16995.68</v>
      </c>
      <c r="L75" s="34"/>
      <c r="R75">
        <f>H75</f>
        <v>565.58000000000004</v>
      </c>
    </row>
    <row r="76" spans="1:26" ht="14.25" x14ac:dyDescent="0.2">
      <c r="A76" s="48"/>
      <c r="B76" s="49"/>
      <c r="C76" s="49" t="s">
        <v>151</v>
      </c>
      <c r="D76" s="31"/>
      <c r="E76" s="10"/>
      <c r="F76" s="32">
        <f>Source!AM36</f>
        <v>362.49</v>
      </c>
      <c r="G76" s="33" t="str">
        <f>Source!DE36</f>
        <v>)*1,2)*1,15</v>
      </c>
      <c r="H76" s="32">
        <f>ROUND(Source!AD36*Source!I36, 2)</f>
        <v>500.24</v>
      </c>
      <c r="I76" s="33"/>
      <c r="J76" s="33">
        <f>IF(Source!BB36&lt;&gt; 0, Source!BB36, 1)</f>
        <v>8.65</v>
      </c>
      <c r="K76" s="32">
        <f>Source!Q36</f>
        <v>4327.08</v>
      </c>
      <c r="L76" s="34"/>
    </row>
    <row r="77" spans="1:26" ht="14.25" x14ac:dyDescent="0.2">
      <c r="A77" s="48"/>
      <c r="B77" s="49"/>
      <c r="C77" s="49" t="s">
        <v>533</v>
      </c>
      <c r="D77" s="31"/>
      <c r="E77" s="10"/>
      <c r="F77" s="32">
        <f>Source!AN36</f>
        <v>20.39</v>
      </c>
      <c r="G77" s="33" t="str">
        <f>Source!DF36</f>
        <v>)*1,2)*1,15</v>
      </c>
      <c r="H77" s="47">
        <f>ROUND(Source!AE36*Source!I36, 2)</f>
        <v>28.14</v>
      </c>
      <c r="I77" s="33"/>
      <c r="J77" s="33">
        <f>IF(Source!BS36&lt;&gt; 0, Source!BS36, 1)</f>
        <v>30.05</v>
      </c>
      <c r="K77" s="47">
        <f>Source!R36</f>
        <v>845.61</v>
      </c>
      <c r="L77" s="34"/>
      <c r="R77">
        <f>H77</f>
        <v>28.14</v>
      </c>
    </row>
    <row r="78" spans="1:26" ht="14.25" x14ac:dyDescent="0.2">
      <c r="A78" s="48"/>
      <c r="B78" s="49"/>
      <c r="C78" s="49" t="s">
        <v>536</v>
      </c>
      <c r="D78" s="31"/>
      <c r="E78" s="10"/>
      <c r="F78" s="32">
        <f>Source!AL36</f>
        <v>125.86</v>
      </c>
      <c r="G78" s="33" t="str">
        <f>Source!DD36</f>
        <v/>
      </c>
      <c r="H78" s="32">
        <f>ROUND(Source!AC36*Source!I36, 2)</f>
        <v>125.86</v>
      </c>
      <c r="I78" s="33"/>
      <c r="J78" s="33">
        <f>IF(Source!BC36&lt;&gt; 0, Source!BC36, 1)</f>
        <v>11.96</v>
      </c>
      <c r="K78" s="32">
        <f>Source!P36</f>
        <v>1505.29</v>
      </c>
      <c r="L78" s="34"/>
    </row>
    <row r="79" spans="1:26" ht="14.25" x14ac:dyDescent="0.2">
      <c r="A79" s="48"/>
      <c r="B79" s="49"/>
      <c r="C79" s="49" t="s">
        <v>526</v>
      </c>
      <c r="D79" s="31" t="s">
        <v>527</v>
      </c>
      <c r="E79" s="10">
        <f>Source!BZ36</f>
        <v>95</v>
      </c>
      <c r="F79" s="53"/>
      <c r="G79" s="33"/>
      <c r="H79" s="32">
        <f>SUM(S74:S83)</f>
        <v>564.03</v>
      </c>
      <c r="I79" s="35"/>
      <c r="J79" s="30">
        <f>Source!AT36</f>
        <v>95</v>
      </c>
      <c r="K79" s="32">
        <f>SUM(T74:T83)</f>
        <v>16949.23</v>
      </c>
      <c r="L79" s="34"/>
    </row>
    <row r="80" spans="1:26" ht="14.25" x14ac:dyDescent="0.2">
      <c r="A80" s="48"/>
      <c r="B80" s="49"/>
      <c r="C80" s="49" t="s">
        <v>528</v>
      </c>
      <c r="D80" s="31" t="s">
        <v>527</v>
      </c>
      <c r="E80" s="10">
        <f>Source!CA36</f>
        <v>65</v>
      </c>
      <c r="F80" s="53"/>
      <c r="G80" s="33"/>
      <c r="H80" s="32">
        <f>SUM(U74:U83)</f>
        <v>385.92</v>
      </c>
      <c r="I80" s="35"/>
      <c r="J80" s="30">
        <f>Source!AU36</f>
        <v>65</v>
      </c>
      <c r="K80" s="32">
        <f>SUM(V74:V83)</f>
        <v>11596.84</v>
      </c>
      <c r="L80" s="34"/>
    </row>
    <row r="81" spans="1:26" ht="14.25" x14ac:dyDescent="0.2">
      <c r="A81" s="48"/>
      <c r="B81" s="49"/>
      <c r="C81" s="49" t="s">
        <v>529</v>
      </c>
      <c r="D81" s="31" t="s">
        <v>530</v>
      </c>
      <c r="E81" s="10">
        <f>Source!AQ36</f>
        <v>43.6</v>
      </c>
      <c r="F81" s="32"/>
      <c r="G81" s="33" t="str">
        <f>Source!DI36</f>
        <v>)*1,2)*1,15</v>
      </c>
      <c r="H81" s="32"/>
      <c r="I81" s="33"/>
      <c r="J81" s="33"/>
      <c r="K81" s="32"/>
      <c r="L81" s="44">
        <f>Source!U36</f>
        <v>60.167999999999992</v>
      </c>
    </row>
    <row r="82" spans="1:26" ht="28.5" x14ac:dyDescent="0.2">
      <c r="A82" s="48" t="str">
        <f>Source!E37</f>
        <v>7,1</v>
      </c>
      <c r="B82" s="49" t="s">
        <v>540</v>
      </c>
      <c r="C82" s="49" t="str">
        <f>Source!G37</f>
        <v>Перемычки гибкие, тип ПГС-50</v>
      </c>
      <c r="D82" s="31" t="str">
        <f>Source!H37</f>
        <v>10 шт.</v>
      </c>
      <c r="E82" s="10">
        <f>Source!I37</f>
        <v>-0.6</v>
      </c>
      <c r="F82" s="32">
        <f>Source!AL37+Source!AM37+Source!AO37</f>
        <v>40.9</v>
      </c>
      <c r="G82" s="45" t="s">
        <v>6</v>
      </c>
      <c r="H82" s="32">
        <f>ROUND(Source!AC37*Source!I37, 2)+ROUND(Source!AD37*Source!I37, 2)+ROUND(Source!AF37*Source!I37, 2)</f>
        <v>-24.54</v>
      </c>
      <c r="I82" s="33"/>
      <c r="J82" s="33">
        <f>IF(Source!BC37&lt;&gt; 0, Source!BC37, 1)</f>
        <v>24.3</v>
      </c>
      <c r="K82" s="32">
        <f>Source!O37</f>
        <v>-596.32000000000005</v>
      </c>
      <c r="L82" s="34"/>
      <c r="S82">
        <f>ROUND((Source!FX37/100)*((ROUND(Source!AF37*Source!I37, 2)+ROUND(Source!AE37*Source!I37, 2))), 2)</f>
        <v>0</v>
      </c>
      <c r="T82">
        <f>Source!X37</f>
        <v>0</v>
      </c>
      <c r="U82">
        <f>ROUND((Source!FY37/100)*((ROUND(Source!AF37*Source!I37, 2)+ROUND(Source!AE37*Source!I37, 2))), 2)</f>
        <v>0</v>
      </c>
      <c r="V82">
        <f>Source!Y37</f>
        <v>0</v>
      </c>
      <c r="W82">
        <f>IF(Source!BI37&lt;=1,H82, 0)</f>
        <v>0</v>
      </c>
      <c r="X82">
        <f>IF(Source!BI37=2,H82, 0)</f>
        <v>-24.54</v>
      </c>
      <c r="Y82">
        <f>IF(Source!BI37=3,H82, 0)</f>
        <v>0</v>
      </c>
      <c r="Z82">
        <f>IF(Source!BI37=4,H82, 0)</f>
        <v>0</v>
      </c>
    </row>
    <row r="83" spans="1:26" ht="71.25" x14ac:dyDescent="0.2">
      <c r="A83" s="50" t="str">
        <f>Source!E38</f>
        <v>7,2</v>
      </c>
      <c r="B83" s="51" t="s">
        <v>541</v>
      </c>
      <c r="C83" s="51" t="str">
        <f>Source!G38</f>
        <v>Трубы стальные сварные водогазопроводные с резьбой оцинкованные легкие, диаметр условного прохода 100 мм, толщина стенки 4 мм</v>
      </c>
      <c r="D83" s="36" t="str">
        <f>Source!H38</f>
        <v>м</v>
      </c>
      <c r="E83" s="37">
        <f>Source!I38</f>
        <v>100</v>
      </c>
      <c r="F83" s="38">
        <f>Source!AL38+Source!AM38+Source!AO38</f>
        <v>82.32</v>
      </c>
      <c r="G83" s="46" t="s">
        <v>6</v>
      </c>
      <c r="H83" s="38">
        <f>ROUND(Source!AC38*Source!I38, 2)+ROUND(Source!AD38*Source!I38, 2)+ROUND(Source!AF38*Source!I38, 2)</f>
        <v>8232</v>
      </c>
      <c r="I83" s="39"/>
      <c r="J83" s="39">
        <f>IF(Source!BC38&lt;&gt; 0, Source!BC38, 1)</f>
        <v>7.49</v>
      </c>
      <c r="K83" s="38">
        <f>Source!O38</f>
        <v>61657.68</v>
      </c>
      <c r="L83" s="43"/>
      <c r="S83">
        <f>ROUND((Source!FX38/100)*((ROUND(Source!AF38*Source!I38, 2)+ROUND(Source!AE38*Source!I38, 2))), 2)</f>
        <v>0</v>
      </c>
      <c r="T83">
        <f>Source!X38</f>
        <v>0</v>
      </c>
      <c r="U83">
        <f>ROUND((Source!FY38/100)*((ROUND(Source!AF38*Source!I38, 2)+ROUND(Source!AE38*Source!I38, 2))), 2)</f>
        <v>0</v>
      </c>
      <c r="V83">
        <f>Source!Y38</f>
        <v>0</v>
      </c>
      <c r="W83">
        <f>IF(Source!BI38&lt;=1,H83, 0)</f>
        <v>8232</v>
      </c>
      <c r="X83">
        <f>IF(Source!BI38=2,H83, 0)</f>
        <v>0</v>
      </c>
      <c r="Y83">
        <f>IF(Source!BI38=3,H83, 0)</f>
        <v>0</v>
      </c>
      <c r="Z83">
        <f>IF(Source!BI38=4,H83, 0)</f>
        <v>0</v>
      </c>
    </row>
    <row r="84" spans="1:26" ht="15" x14ac:dyDescent="0.25">
      <c r="G84" s="81">
        <f>H75+H76+H78+H79+H80+SUM(H82:H83)</f>
        <v>10349.09</v>
      </c>
      <c r="H84" s="81"/>
      <c r="J84" s="81">
        <f>K75+K76+K78+K79+K80+SUM(K82:K83)</f>
        <v>112435.48</v>
      </c>
      <c r="K84" s="81"/>
      <c r="L84" s="41">
        <f>Source!U36</f>
        <v>60.167999999999992</v>
      </c>
      <c r="O84" s="26">
        <f>G84</f>
        <v>10349.09</v>
      </c>
      <c r="P84" s="26">
        <f>J84</f>
        <v>112435.48</v>
      </c>
      <c r="Q84" s="26">
        <f>L84</f>
        <v>60.167999999999992</v>
      </c>
      <c r="W84">
        <f>IF(Source!BI36&lt;=1,H75+H76+H78+H79+H80, 0)</f>
        <v>0</v>
      </c>
      <c r="X84">
        <f>IF(Source!BI36=2,H75+H76+H78+H79+H80, 0)</f>
        <v>2141.63</v>
      </c>
      <c r="Y84">
        <f>IF(Source!BI36=3,H75+H76+H78+H79+H80, 0)</f>
        <v>0</v>
      </c>
      <c r="Z84">
        <f>IF(Source!BI36=4,H75+H76+H78+H79+H80, 0)</f>
        <v>0</v>
      </c>
    </row>
    <row r="85" spans="1:26" ht="130.5" x14ac:dyDescent="0.2">
      <c r="A85" s="48" t="str">
        <f>Source!E39</f>
        <v>8</v>
      </c>
      <c r="B85" s="49" t="s">
        <v>542</v>
      </c>
      <c r="C85" s="49" t="str">
        <f>Source!G39</f>
        <v>Подготовка почвы для устройства партерного и обыкновенного газона с внесением растительной земли слоем 15 см вручную</v>
      </c>
      <c r="D85" s="31" t="str">
        <f>Source!H39</f>
        <v>100 м2</v>
      </c>
      <c r="E85" s="10">
        <f>Source!I39</f>
        <v>16</v>
      </c>
      <c r="F85" s="32">
        <f>Source!AL39+Source!AM39+Source!AO39</f>
        <v>2296.1</v>
      </c>
      <c r="G85" s="33"/>
      <c r="H85" s="32"/>
      <c r="I85" s="33" t="str">
        <f>Source!BO39</f>
        <v>47-01-046-4</v>
      </c>
      <c r="J85" s="33"/>
      <c r="K85" s="32"/>
      <c r="L85" s="34"/>
      <c r="S85">
        <f>ROUND((Source!FX39/100)*((ROUND(Source!AF39*Source!I39, 2)+ROUND(Source!AE39*Source!I39, 2))), 2)</f>
        <v>9274.15</v>
      </c>
      <c r="T85">
        <f>Source!X39</f>
        <v>278688.26</v>
      </c>
      <c r="U85">
        <f>ROUND((Source!FY39/100)*((ROUND(Source!AF39*Source!I39, 2)+ROUND(Source!AE39*Source!I39, 2))), 2)</f>
        <v>6169.33</v>
      </c>
      <c r="V85">
        <f>Source!Y39</f>
        <v>186599.97</v>
      </c>
    </row>
    <row r="86" spans="1:26" ht="28.5" x14ac:dyDescent="0.2">
      <c r="A86" s="48"/>
      <c r="B86" s="49"/>
      <c r="C86" s="49" t="s">
        <v>525</v>
      </c>
      <c r="D86" s="31"/>
      <c r="E86" s="10"/>
      <c r="F86" s="32">
        <f>Source!AO39</f>
        <v>317.60000000000002</v>
      </c>
      <c r="G86" s="33" t="str">
        <f>Source!DG39</f>
        <v>)*1,2)*1,15)*1,15</v>
      </c>
      <c r="H86" s="32">
        <f>ROUND(Source!AF39*Source!I39, 2)</f>
        <v>8064.48</v>
      </c>
      <c r="I86" s="33"/>
      <c r="J86" s="33">
        <f>IF(Source!BA39&lt;&gt; 0, Source!BA39, 1)</f>
        <v>30.05</v>
      </c>
      <c r="K86" s="32">
        <f>Source!S39</f>
        <v>242337.62</v>
      </c>
      <c r="L86" s="34"/>
      <c r="R86">
        <f>H86</f>
        <v>8064.48</v>
      </c>
    </row>
    <row r="87" spans="1:26" ht="14.25" x14ac:dyDescent="0.2">
      <c r="A87" s="48"/>
      <c r="B87" s="49"/>
      <c r="C87" s="49" t="s">
        <v>536</v>
      </c>
      <c r="D87" s="31"/>
      <c r="E87" s="10"/>
      <c r="F87" s="32">
        <f>Source!AL39</f>
        <v>1978.5</v>
      </c>
      <c r="G87" s="33" t="str">
        <f>Source!DD39</f>
        <v/>
      </c>
      <c r="H87" s="32">
        <f>ROUND(Source!AC39*Source!I39, 2)</f>
        <v>31656</v>
      </c>
      <c r="I87" s="33"/>
      <c r="J87" s="33">
        <f>IF(Source!BC39&lt;&gt; 0, Source!BC39, 1)</f>
        <v>6.69</v>
      </c>
      <c r="K87" s="32">
        <f>Source!P39</f>
        <v>211778.64</v>
      </c>
      <c r="L87" s="34"/>
    </row>
    <row r="88" spans="1:26" ht="14.25" x14ac:dyDescent="0.2">
      <c r="A88" s="48"/>
      <c r="B88" s="49"/>
      <c r="C88" s="49" t="s">
        <v>526</v>
      </c>
      <c r="D88" s="31" t="s">
        <v>527</v>
      </c>
      <c r="E88" s="10">
        <f>Source!BZ39</f>
        <v>115</v>
      </c>
      <c r="F88" s="53"/>
      <c r="G88" s="33"/>
      <c r="H88" s="32">
        <f>SUM(S85:S90)</f>
        <v>9274.15</v>
      </c>
      <c r="I88" s="35"/>
      <c r="J88" s="30">
        <f>Source!AT39</f>
        <v>115</v>
      </c>
      <c r="K88" s="32">
        <f>SUM(T85:T90)</f>
        <v>278688.26</v>
      </c>
      <c r="L88" s="34"/>
    </row>
    <row r="89" spans="1:26" ht="14.25" x14ac:dyDescent="0.2">
      <c r="A89" s="48"/>
      <c r="B89" s="49"/>
      <c r="C89" s="49" t="s">
        <v>528</v>
      </c>
      <c r="D89" s="31" t="s">
        <v>527</v>
      </c>
      <c r="E89" s="10">
        <f>Source!CA39</f>
        <v>90</v>
      </c>
      <c r="F89" s="85" t="str">
        <f>CONCATENATE(" )", Source!DM39, Source!FU39, "=", Source!FY39)</f>
        <v xml:space="preserve"> )*0,85=76,5</v>
      </c>
      <c r="G89" s="86"/>
      <c r="H89" s="32">
        <f>SUM(U85:U90)</f>
        <v>6169.33</v>
      </c>
      <c r="I89" s="35"/>
      <c r="J89" s="30">
        <f>Source!AU39</f>
        <v>77</v>
      </c>
      <c r="K89" s="32">
        <f>SUM(V85:V90)</f>
        <v>186599.97</v>
      </c>
      <c r="L89" s="34"/>
    </row>
    <row r="90" spans="1:26" ht="28.5" x14ac:dyDescent="0.2">
      <c r="A90" s="50"/>
      <c r="B90" s="51"/>
      <c r="C90" s="51" t="s">
        <v>529</v>
      </c>
      <c r="D90" s="36" t="s">
        <v>530</v>
      </c>
      <c r="E90" s="37">
        <f>Source!AQ39</f>
        <v>40</v>
      </c>
      <c r="F90" s="38"/>
      <c r="G90" s="39" t="str">
        <f>Source!DI39</f>
        <v>)*1,2)*1,15)*1,15</v>
      </c>
      <c r="H90" s="38"/>
      <c r="I90" s="39"/>
      <c r="J90" s="39"/>
      <c r="K90" s="38"/>
      <c r="L90" s="40">
        <f>Source!U39</f>
        <v>1015.6799999999998</v>
      </c>
    </row>
    <row r="91" spans="1:26" ht="15" x14ac:dyDescent="0.25">
      <c r="G91" s="81">
        <f>H86+H87+H88+H89</f>
        <v>55163.96</v>
      </c>
      <c r="H91" s="81"/>
      <c r="J91" s="81">
        <f>K86+K87+K88+K89</f>
        <v>919404.49</v>
      </c>
      <c r="K91" s="81"/>
      <c r="L91" s="41">
        <f>Source!U39</f>
        <v>1015.6799999999998</v>
      </c>
      <c r="O91" s="26">
        <f>G91</f>
        <v>55163.96</v>
      </c>
      <c r="P91" s="26">
        <f>J91</f>
        <v>919404.49</v>
      </c>
      <c r="Q91" s="26">
        <f>L91</f>
        <v>1015.6799999999998</v>
      </c>
      <c r="W91">
        <f>IF(Source!BI39&lt;=1,H86+H87+H88+H89, 0)</f>
        <v>55163.96</v>
      </c>
      <c r="X91">
        <f>IF(Source!BI39=2,H86+H87+H88+H89, 0)</f>
        <v>0</v>
      </c>
      <c r="Y91">
        <f>IF(Source!BI39=3,H86+H87+H88+H89, 0)</f>
        <v>0</v>
      </c>
      <c r="Z91">
        <f>IF(Source!BI39=4,H86+H87+H88+H89, 0)</f>
        <v>0</v>
      </c>
    </row>
    <row r="92" spans="1:26" ht="130.5" x14ac:dyDescent="0.2">
      <c r="A92" s="48" t="str">
        <f>Source!E40</f>
        <v>9</v>
      </c>
      <c r="B92" s="49" t="s">
        <v>543</v>
      </c>
      <c r="C92" s="49" t="str">
        <f>Source!G40</f>
        <v>На каждые 5 см изменения толщины слоя добавлять или исключать к расценкам с 47-01-046-01 по 47-01-046-04</v>
      </c>
      <c r="D92" s="31" t="str">
        <f>Source!H40</f>
        <v>100 м2</v>
      </c>
      <c r="E92" s="10">
        <f>Source!I40</f>
        <v>-16</v>
      </c>
      <c r="F92" s="32">
        <f>Source!AL40+Source!AM40+Source!AO40</f>
        <v>702.93</v>
      </c>
      <c r="G92" s="33"/>
      <c r="H92" s="32"/>
      <c r="I92" s="33" t="str">
        <f>Source!BO40</f>
        <v>47-01-046-5</v>
      </c>
      <c r="J92" s="33"/>
      <c r="K92" s="32"/>
      <c r="L92" s="34"/>
      <c r="S92">
        <f>ROUND((Source!FX40/100)*((ROUND(Source!AF40*Source!I40, 2)+ROUND(Source!AE40*Source!I40, 2))), 2)</f>
        <v>-1268.1300000000001</v>
      </c>
      <c r="T92">
        <f>Source!X40</f>
        <v>-38107.25</v>
      </c>
      <c r="U92">
        <f>ROUND((Source!FY40/100)*((ROUND(Source!AF40*Source!I40, 2)+ROUND(Source!AE40*Source!I40, 2))), 2)</f>
        <v>-843.58</v>
      </c>
      <c r="V92">
        <f>Source!Y40</f>
        <v>-25515.29</v>
      </c>
    </row>
    <row r="93" spans="1:26" ht="28.5" x14ac:dyDescent="0.2">
      <c r="A93" s="48"/>
      <c r="B93" s="49"/>
      <c r="C93" s="49" t="s">
        <v>525</v>
      </c>
      <c r="D93" s="31"/>
      <c r="E93" s="10"/>
      <c r="F93" s="32">
        <f>Source!AO40</f>
        <v>43.43</v>
      </c>
      <c r="G93" s="33" t="str">
        <f>Source!DG40</f>
        <v>)*1,2)*1,15)*1,15</v>
      </c>
      <c r="H93" s="32">
        <f>ROUND(Source!AF40*Source!I40, 2)</f>
        <v>-1102.72</v>
      </c>
      <c r="I93" s="33"/>
      <c r="J93" s="33">
        <f>IF(Source!BA40&lt;&gt; 0, Source!BA40, 1)</f>
        <v>30.05</v>
      </c>
      <c r="K93" s="32">
        <f>Source!S40</f>
        <v>-33136.74</v>
      </c>
      <c r="L93" s="34"/>
      <c r="R93">
        <f>H93</f>
        <v>-1102.72</v>
      </c>
    </row>
    <row r="94" spans="1:26" ht="14.25" x14ac:dyDescent="0.2">
      <c r="A94" s="48"/>
      <c r="B94" s="49"/>
      <c r="C94" s="49" t="s">
        <v>536</v>
      </c>
      <c r="D94" s="31"/>
      <c r="E94" s="10"/>
      <c r="F94" s="32">
        <f>Source!AL40</f>
        <v>659.5</v>
      </c>
      <c r="G94" s="33" t="str">
        <f>Source!DD40</f>
        <v/>
      </c>
      <c r="H94" s="32">
        <f>ROUND(Source!AC40*Source!I40, 2)</f>
        <v>-10552</v>
      </c>
      <c r="I94" s="33"/>
      <c r="J94" s="33">
        <f>IF(Source!BC40&lt;&gt; 0, Source!BC40, 1)</f>
        <v>6.69</v>
      </c>
      <c r="K94" s="32">
        <f>Source!P40</f>
        <v>-70592.88</v>
      </c>
      <c r="L94" s="34"/>
    </row>
    <row r="95" spans="1:26" ht="14.25" x14ac:dyDescent="0.2">
      <c r="A95" s="48"/>
      <c r="B95" s="49"/>
      <c r="C95" s="49" t="s">
        <v>526</v>
      </c>
      <c r="D95" s="31" t="s">
        <v>527</v>
      </c>
      <c r="E95" s="10">
        <f>Source!BZ40</f>
        <v>115</v>
      </c>
      <c r="F95" s="53"/>
      <c r="G95" s="33"/>
      <c r="H95" s="32">
        <f>SUM(S92:S97)</f>
        <v>-1268.1300000000001</v>
      </c>
      <c r="I95" s="35"/>
      <c r="J95" s="30">
        <f>Source!AT40</f>
        <v>115</v>
      </c>
      <c r="K95" s="32">
        <f>SUM(T92:T97)</f>
        <v>-38107.25</v>
      </c>
      <c r="L95" s="34"/>
    </row>
    <row r="96" spans="1:26" ht="14.25" x14ac:dyDescent="0.2">
      <c r="A96" s="48"/>
      <c r="B96" s="49"/>
      <c r="C96" s="49" t="s">
        <v>528</v>
      </c>
      <c r="D96" s="31" t="s">
        <v>527</v>
      </c>
      <c r="E96" s="10">
        <f>Source!CA40</f>
        <v>90</v>
      </c>
      <c r="F96" s="85" t="str">
        <f>CONCATENATE(" )", Source!DM40, Source!FU40, "=", Source!FY40)</f>
        <v xml:space="preserve"> )*0,85=76,5</v>
      </c>
      <c r="G96" s="86"/>
      <c r="H96" s="32">
        <f>SUM(U92:U97)</f>
        <v>-843.58</v>
      </c>
      <c r="I96" s="35"/>
      <c r="J96" s="30">
        <f>Source!AU40</f>
        <v>77</v>
      </c>
      <c r="K96" s="32">
        <f>SUM(V92:V97)</f>
        <v>-25515.29</v>
      </c>
      <c r="L96" s="34"/>
    </row>
    <row r="97" spans="1:26" ht="28.5" x14ac:dyDescent="0.2">
      <c r="A97" s="50"/>
      <c r="B97" s="51"/>
      <c r="C97" s="51" t="s">
        <v>529</v>
      </c>
      <c r="D97" s="36" t="s">
        <v>530</v>
      </c>
      <c r="E97" s="37">
        <f>Source!AQ40</f>
        <v>5.47</v>
      </c>
      <c r="F97" s="38"/>
      <c r="G97" s="39" t="str">
        <f>Source!DI40</f>
        <v>)*1,2)*1,15)*1,15</v>
      </c>
      <c r="H97" s="38"/>
      <c r="I97" s="39"/>
      <c r="J97" s="39"/>
      <c r="K97" s="38"/>
      <c r="L97" s="40">
        <f>Source!U40</f>
        <v>-138.89423999999997</v>
      </c>
    </row>
    <row r="98" spans="1:26" ht="15" x14ac:dyDescent="0.25">
      <c r="G98" s="81">
        <f>H93+H94+H95+H96</f>
        <v>-13766.429999999998</v>
      </c>
      <c r="H98" s="81"/>
      <c r="J98" s="81">
        <f>K93+K94+K95+K96</f>
        <v>-167352.16</v>
      </c>
      <c r="K98" s="81"/>
      <c r="L98" s="41">
        <f>Source!U40</f>
        <v>-138.89423999999997</v>
      </c>
      <c r="O98" s="26">
        <f>G98</f>
        <v>-13766.429999999998</v>
      </c>
      <c r="P98" s="26">
        <f>J98</f>
        <v>-167352.16</v>
      </c>
      <c r="Q98" s="26">
        <f>L98</f>
        <v>-138.89423999999997</v>
      </c>
      <c r="W98">
        <f>IF(Source!BI40&lt;=1,H93+H94+H95+H96, 0)</f>
        <v>-13766.429999999998</v>
      </c>
      <c r="X98">
        <f>IF(Source!BI40=2,H93+H94+H95+H96, 0)</f>
        <v>0</v>
      </c>
      <c r="Y98">
        <f>IF(Source!BI40=3,H93+H94+H95+H96, 0)</f>
        <v>0</v>
      </c>
      <c r="Z98">
        <f>IF(Source!BI40=4,H93+H94+H95+H96, 0)</f>
        <v>0</v>
      </c>
    </row>
    <row r="99" spans="1:26" ht="130.5" x14ac:dyDescent="0.2">
      <c r="A99" s="48" t="str">
        <f>Source!E41</f>
        <v>10</v>
      </c>
      <c r="B99" s="49" t="s">
        <v>544</v>
      </c>
      <c r="C99" s="49" t="str">
        <f>Source!G41</f>
        <v>Посев газонов партерных, мавританских и обыкновенных вручную</v>
      </c>
      <c r="D99" s="31" t="str">
        <f>Source!H41</f>
        <v>100 м2</v>
      </c>
      <c r="E99" s="10">
        <f>Source!I41</f>
        <v>16</v>
      </c>
      <c r="F99" s="32">
        <f>Source!AL41+Source!AM41+Source!AO41</f>
        <v>376.47999999999996</v>
      </c>
      <c r="G99" s="33"/>
      <c r="H99" s="32"/>
      <c r="I99" s="33" t="str">
        <f>Source!BO41</f>
        <v>47-01-046-6</v>
      </c>
      <c r="J99" s="33"/>
      <c r="K99" s="32"/>
      <c r="L99" s="34"/>
      <c r="S99">
        <f>ROUND((Source!FX41/100)*((ROUND(Source!AF41*Source!I41, 2)+ROUND(Source!AE41*Source!I41, 2))), 2)</f>
        <v>2488.6</v>
      </c>
      <c r="T99">
        <f>Source!X41</f>
        <v>74782.429999999993</v>
      </c>
      <c r="U99">
        <f>ROUND((Source!FY41/100)*((ROUND(Source!AF41*Source!I41, 2)+ROUND(Source!AE41*Source!I41, 2))), 2)</f>
        <v>1655.46</v>
      </c>
      <c r="V99">
        <f>Source!Y41</f>
        <v>50071.71</v>
      </c>
    </row>
    <row r="100" spans="1:26" ht="28.5" x14ac:dyDescent="0.2">
      <c r="A100" s="48"/>
      <c r="B100" s="49"/>
      <c r="C100" s="49" t="s">
        <v>525</v>
      </c>
      <c r="D100" s="31"/>
      <c r="E100" s="10"/>
      <c r="F100" s="32">
        <f>Source!AO41</f>
        <v>50.68</v>
      </c>
      <c r="G100" s="33" t="str">
        <f>Source!DG41</f>
        <v>)*1,2)*1,15)*1,15</v>
      </c>
      <c r="H100" s="32">
        <f>ROUND(Source!AF41*Source!I41, 2)</f>
        <v>1286.8800000000001</v>
      </c>
      <c r="I100" s="33"/>
      <c r="J100" s="33">
        <f>IF(Source!BA41&lt;&gt; 0, Source!BA41, 1)</f>
        <v>30.05</v>
      </c>
      <c r="K100" s="32">
        <f>Source!S41</f>
        <v>38670.74</v>
      </c>
      <c r="L100" s="34"/>
      <c r="R100">
        <f>H100</f>
        <v>1286.8800000000001</v>
      </c>
    </row>
    <row r="101" spans="1:26" ht="28.5" x14ac:dyDescent="0.2">
      <c r="A101" s="48"/>
      <c r="B101" s="49"/>
      <c r="C101" s="49" t="s">
        <v>151</v>
      </c>
      <c r="D101" s="31"/>
      <c r="E101" s="10"/>
      <c r="F101" s="32">
        <f>Source!AM41</f>
        <v>301.39999999999998</v>
      </c>
      <c r="G101" s="33" t="str">
        <f>Source!DE41</f>
        <v>)*1,2)*1,25)*1,15</v>
      </c>
      <c r="H101" s="32">
        <f>ROUND(Source!AD41*Source!I41, 2)</f>
        <v>8318.56</v>
      </c>
      <c r="I101" s="33"/>
      <c r="J101" s="33">
        <f>IF(Source!BB41&lt;&gt; 0, Source!BB41, 1)</f>
        <v>7.9</v>
      </c>
      <c r="K101" s="32">
        <f>Source!Q41</f>
        <v>65716.62</v>
      </c>
      <c r="L101" s="34"/>
    </row>
    <row r="102" spans="1:26" ht="28.5" x14ac:dyDescent="0.2">
      <c r="A102" s="48"/>
      <c r="B102" s="49"/>
      <c r="C102" s="49" t="s">
        <v>533</v>
      </c>
      <c r="D102" s="31"/>
      <c r="E102" s="10"/>
      <c r="F102" s="32">
        <f>Source!AN41</f>
        <v>31.78</v>
      </c>
      <c r="G102" s="33" t="str">
        <f>Source!DF41</f>
        <v>)*1,2)*1,25)*1,15</v>
      </c>
      <c r="H102" s="47">
        <f>ROUND(Source!AE41*Source!I41, 2)</f>
        <v>877.12</v>
      </c>
      <c r="I102" s="33"/>
      <c r="J102" s="33">
        <f>IF(Source!BS41&lt;&gt; 0, Source!BS41, 1)</f>
        <v>30.05</v>
      </c>
      <c r="K102" s="47">
        <f>Source!R41</f>
        <v>26357.46</v>
      </c>
      <c r="L102" s="34"/>
      <c r="R102">
        <f>H102</f>
        <v>877.12</v>
      </c>
    </row>
    <row r="103" spans="1:26" ht="14.25" x14ac:dyDescent="0.2">
      <c r="A103" s="48"/>
      <c r="B103" s="49"/>
      <c r="C103" s="49" t="s">
        <v>536</v>
      </c>
      <c r="D103" s="31"/>
      <c r="E103" s="10"/>
      <c r="F103" s="32">
        <f>Source!AL41</f>
        <v>24.4</v>
      </c>
      <c r="G103" s="33" t="str">
        <f>Source!DD41</f>
        <v/>
      </c>
      <c r="H103" s="32">
        <f>ROUND(Source!AC41*Source!I41, 2)</f>
        <v>390.4</v>
      </c>
      <c r="I103" s="33"/>
      <c r="J103" s="33">
        <f>IF(Source!BC41&lt;&gt; 0, Source!BC41, 1)</f>
        <v>8.7200000000000006</v>
      </c>
      <c r="K103" s="32">
        <f>Source!P41</f>
        <v>3404.29</v>
      </c>
      <c r="L103" s="34"/>
    </row>
    <row r="104" spans="1:26" ht="14.25" x14ac:dyDescent="0.2">
      <c r="A104" s="48"/>
      <c r="B104" s="49"/>
      <c r="C104" s="49" t="s">
        <v>526</v>
      </c>
      <c r="D104" s="31" t="s">
        <v>527</v>
      </c>
      <c r="E104" s="10">
        <f>Source!BZ41</f>
        <v>115</v>
      </c>
      <c r="F104" s="53"/>
      <c r="G104" s="33"/>
      <c r="H104" s="32">
        <f>SUM(S99:S107)</f>
        <v>2488.6</v>
      </c>
      <c r="I104" s="35"/>
      <c r="J104" s="30">
        <f>Source!AT41</f>
        <v>115</v>
      </c>
      <c r="K104" s="32">
        <f>SUM(T99:T107)</f>
        <v>74782.429999999993</v>
      </c>
      <c r="L104" s="34"/>
    </row>
    <row r="105" spans="1:26" ht="14.25" x14ac:dyDescent="0.2">
      <c r="A105" s="48"/>
      <c r="B105" s="49"/>
      <c r="C105" s="49" t="s">
        <v>528</v>
      </c>
      <c r="D105" s="31" t="s">
        <v>527</v>
      </c>
      <c r="E105" s="10">
        <f>Source!CA41</f>
        <v>90</v>
      </c>
      <c r="F105" s="85" t="str">
        <f>CONCATENATE(" )", Source!DM41, Source!FU41, "=", Source!FY41)</f>
        <v xml:space="preserve"> )*0,85=76,5</v>
      </c>
      <c r="G105" s="86"/>
      <c r="H105" s="32">
        <f>SUM(U99:U107)</f>
        <v>1655.46</v>
      </c>
      <c r="I105" s="35"/>
      <c r="J105" s="30">
        <f>Source!AU41</f>
        <v>77</v>
      </c>
      <c r="K105" s="32">
        <f>SUM(V99:V107)</f>
        <v>50071.71</v>
      </c>
      <c r="L105" s="34"/>
    </row>
    <row r="106" spans="1:26" ht="28.5" x14ac:dyDescent="0.2">
      <c r="A106" s="48"/>
      <c r="B106" s="49"/>
      <c r="C106" s="49" t="s">
        <v>529</v>
      </c>
      <c r="D106" s="31" t="s">
        <v>530</v>
      </c>
      <c r="E106" s="10">
        <f>Source!AQ41</f>
        <v>5.99</v>
      </c>
      <c r="F106" s="32"/>
      <c r="G106" s="33" t="str">
        <f>Source!DI41</f>
        <v>)*1,2)*1,15)*1,15</v>
      </c>
      <c r="H106" s="32"/>
      <c r="I106" s="33"/>
      <c r="J106" s="33"/>
      <c r="K106" s="32"/>
      <c r="L106" s="44">
        <f>Source!U41</f>
        <v>152.09807999999998</v>
      </c>
    </row>
    <row r="107" spans="1:26" ht="28.5" x14ac:dyDescent="0.2">
      <c r="A107" s="50" t="str">
        <f>Source!E42</f>
        <v>10,1</v>
      </c>
      <c r="B107" s="51" t="s">
        <v>545</v>
      </c>
      <c r="C107" s="51" t="str">
        <f>Source!G42</f>
        <v>Семена газонных трав (смесь)</v>
      </c>
      <c r="D107" s="36" t="str">
        <f>Source!H42</f>
        <v>кг</v>
      </c>
      <c r="E107" s="37">
        <f>Source!I42</f>
        <v>32</v>
      </c>
      <c r="F107" s="38">
        <f>Source!AL42+Source!AM42+Source!AO42</f>
        <v>153.19999999999999</v>
      </c>
      <c r="G107" s="46" t="s">
        <v>6</v>
      </c>
      <c r="H107" s="38">
        <f>ROUND(Source!AC42*Source!I42, 2)+ROUND(Source!AD42*Source!I42, 2)+ROUND(Source!AF42*Source!I42, 2)</f>
        <v>4902.3999999999996</v>
      </c>
      <c r="I107" s="39"/>
      <c r="J107" s="39">
        <f>IF(Source!BC42&lt;&gt; 0, Source!BC42, 1)</f>
        <v>0.86</v>
      </c>
      <c r="K107" s="38">
        <f>Source!O42</f>
        <v>4216.0600000000004</v>
      </c>
      <c r="L107" s="43"/>
      <c r="S107">
        <f>ROUND((Source!FX42/100)*((ROUND(Source!AF42*Source!I42, 2)+ROUND(Source!AE42*Source!I42, 2))), 2)</f>
        <v>0</v>
      </c>
      <c r="T107">
        <f>Source!X42</f>
        <v>0</v>
      </c>
      <c r="U107">
        <f>ROUND((Source!FY42/100)*((ROUND(Source!AF42*Source!I42, 2)+ROUND(Source!AE42*Source!I42, 2))), 2)</f>
        <v>0</v>
      </c>
      <c r="V107">
        <f>Source!Y42</f>
        <v>0</v>
      </c>
      <c r="W107">
        <f>IF(Source!BI42&lt;=1,H107, 0)</f>
        <v>4902.3999999999996</v>
      </c>
      <c r="X107">
        <f>IF(Source!BI42=2,H107, 0)</f>
        <v>0</v>
      </c>
      <c r="Y107">
        <f>IF(Source!BI42=3,H107, 0)</f>
        <v>0</v>
      </c>
      <c r="Z107">
        <f>IF(Source!BI42=4,H107, 0)</f>
        <v>0</v>
      </c>
    </row>
    <row r="108" spans="1:26" ht="15" x14ac:dyDescent="0.25">
      <c r="G108" s="81">
        <f>H100+H101+H103+H104+H105+SUM(H107:H107)</f>
        <v>19042.299999999996</v>
      </c>
      <c r="H108" s="81"/>
      <c r="J108" s="81">
        <f>K100+K101+K103+K104+K105+SUM(K107:K107)</f>
        <v>236861.84999999995</v>
      </c>
      <c r="K108" s="81"/>
      <c r="L108" s="41">
        <f>Source!U41</f>
        <v>152.09807999999998</v>
      </c>
      <c r="O108" s="26">
        <f>G108</f>
        <v>19042.299999999996</v>
      </c>
      <c r="P108" s="26">
        <f>J108</f>
        <v>236861.84999999995</v>
      </c>
      <c r="Q108" s="26">
        <f>L108</f>
        <v>152.09807999999998</v>
      </c>
      <c r="W108">
        <f>IF(Source!BI41&lt;=1,H100+H101+H103+H104+H105, 0)</f>
        <v>14139.899999999998</v>
      </c>
      <c r="X108">
        <f>IF(Source!BI41=2,H100+H101+H103+H104+H105, 0)</f>
        <v>0</v>
      </c>
      <c r="Y108">
        <f>IF(Source!BI41=3,H100+H101+H103+H104+H105, 0)</f>
        <v>0</v>
      </c>
      <c r="Z108">
        <f>IF(Source!BI41=4,H100+H101+H103+H104+H105, 0)</f>
        <v>0</v>
      </c>
    </row>
    <row r="110" spans="1:26" ht="15" x14ac:dyDescent="0.25">
      <c r="A110" s="84" t="str">
        <f>CONCATENATE("Итого по разделу: ",IF(Source!G44&lt;&gt;"Новый раздел", Source!G44, ""))</f>
        <v>Итого по разделу: Ремонтные работы</v>
      </c>
      <c r="B110" s="84"/>
      <c r="C110" s="84"/>
      <c r="D110" s="84"/>
      <c r="E110" s="84"/>
      <c r="F110" s="84"/>
      <c r="G110" s="83">
        <f>SUM(O38:O109)</f>
        <v>105017.50999999998</v>
      </c>
      <c r="H110" s="83"/>
      <c r="I110" s="29"/>
      <c r="J110" s="83">
        <f>SUM(P38:P109)</f>
        <v>1805876.94</v>
      </c>
      <c r="K110" s="83"/>
      <c r="L110" s="41">
        <f>SUM(Q38:Q109)</f>
        <v>2362.052794799999</v>
      </c>
    </row>
    <row r="114" spans="1:26" ht="16.5" x14ac:dyDescent="0.25">
      <c r="A114" s="82" t="str">
        <f>CONCATENATE("Раздел: ",IF(Source!G73&lt;&gt;"Новый раздел", Source!G73, ""))</f>
        <v>Раздел: Электромонтажные работы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</row>
    <row r="115" spans="1:26" ht="105" x14ac:dyDescent="0.2">
      <c r="A115" s="48" t="str">
        <f>Source!E77</f>
        <v>11</v>
      </c>
      <c r="B115" s="49" t="s">
        <v>546</v>
      </c>
      <c r="C115" s="49" t="str">
        <f>Source!G77</f>
        <v>Устройство постели при одном кабеле в траншее</v>
      </c>
      <c r="D115" s="31" t="str">
        <f>Source!H77</f>
        <v>100 М КАБЕЛЯ</v>
      </c>
      <c r="E115" s="10">
        <f>Source!I77</f>
        <v>9.58</v>
      </c>
      <c r="F115" s="32">
        <f>Source!AL77+Source!AM77+Source!AO77</f>
        <v>391.96999999999997</v>
      </c>
      <c r="G115" s="33"/>
      <c r="H115" s="32"/>
      <c r="I115" s="33" t="str">
        <f>Source!BO77</f>
        <v>м08-02-142-1</v>
      </c>
      <c r="J115" s="33"/>
      <c r="K115" s="32"/>
      <c r="L115" s="34"/>
      <c r="S115">
        <f>ROUND((Source!FX77/100)*((ROUND(Source!AF77*Source!I77, 2)+ROUND(Source!AE77*Source!I77, 2))), 2)</f>
        <v>640.42999999999995</v>
      </c>
      <c r="T115">
        <f>Source!X77</f>
        <v>19245.150000000001</v>
      </c>
      <c r="U115">
        <f>ROUND((Source!FY77/100)*((ROUND(Source!AF77*Source!I77, 2)+ROUND(Source!AE77*Source!I77, 2))), 2)</f>
        <v>438.19</v>
      </c>
      <c r="V115">
        <f>Source!Y77</f>
        <v>13167.73</v>
      </c>
    </row>
    <row r="116" spans="1:26" ht="14.25" x14ac:dyDescent="0.2">
      <c r="A116" s="48"/>
      <c r="B116" s="49"/>
      <c r="C116" s="49" t="s">
        <v>525</v>
      </c>
      <c r="D116" s="31"/>
      <c r="E116" s="10"/>
      <c r="F116" s="32">
        <f>Source!AO77</f>
        <v>50.99</v>
      </c>
      <c r="G116" s="33" t="str">
        <f>Source!DG77</f>
        <v>)*1,2)*1,15</v>
      </c>
      <c r="H116" s="32">
        <f>ROUND(Source!AF77*Source!I77, 2)</f>
        <v>674.14</v>
      </c>
      <c r="I116" s="33"/>
      <c r="J116" s="33">
        <f>IF(Source!BA77&lt;&gt; 0, Source!BA77, 1)</f>
        <v>30.05</v>
      </c>
      <c r="K116" s="32">
        <f>Source!S77</f>
        <v>20258.05</v>
      </c>
      <c r="L116" s="34"/>
      <c r="R116">
        <f>H116</f>
        <v>674.14</v>
      </c>
    </row>
    <row r="117" spans="1:26" ht="14.25" x14ac:dyDescent="0.2">
      <c r="A117" s="48"/>
      <c r="B117" s="49"/>
      <c r="C117" s="49" t="s">
        <v>151</v>
      </c>
      <c r="D117" s="31"/>
      <c r="E117" s="10"/>
      <c r="F117" s="32">
        <f>Source!AM77</f>
        <v>339.96</v>
      </c>
      <c r="G117" s="33" t="str">
        <f>Source!DE77</f>
        <v>)*1,2)*1,15</v>
      </c>
      <c r="H117" s="32">
        <f>ROUND(Source!AD77*Source!I77, 2)</f>
        <v>4494.3599999999997</v>
      </c>
      <c r="I117" s="33"/>
      <c r="J117" s="33">
        <f>IF(Source!BB77&lt;&gt; 0, Source!BB77, 1)</f>
        <v>10.18</v>
      </c>
      <c r="K117" s="32">
        <f>Source!Q77</f>
        <v>45752.6</v>
      </c>
      <c r="L117" s="34"/>
    </row>
    <row r="118" spans="1:26" ht="14.25" x14ac:dyDescent="0.2">
      <c r="A118" s="48"/>
      <c r="B118" s="49"/>
      <c r="C118" s="49" t="s">
        <v>536</v>
      </c>
      <c r="D118" s="31"/>
      <c r="E118" s="10"/>
      <c r="F118" s="32">
        <f>Source!AL77</f>
        <v>1.02</v>
      </c>
      <c r="G118" s="33" t="str">
        <f>Source!DD77</f>
        <v/>
      </c>
      <c r="H118" s="32">
        <f>ROUND(Source!AC77*Source!I77, 2)</f>
        <v>9.77</v>
      </c>
      <c r="I118" s="33"/>
      <c r="J118" s="33">
        <f>IF(Source!BC77&lt;&gt; 0, Source!BC77, 1)</f>
        <v>30.04</v>
      </c>
      <c r="K118" s="32">
        <f>Source!P77</f>
        <v>293.54000000000002</v>
      </c>
      <c r="L118" s="34"/>
    </row>
    <row r="119" spans="1:26" ht="14.25" x14ac:dyDescent="0.2">
      <c r="A119" s="48"/>
      <c r="B119" s="49"/>
      <c r="C119" s="49" t="s">
        <v>526</v>
      </c>
      <c r="D119" s="31" t="s">
        <v>527</v>
      </c>
      <c r="E119" s="10">
        <f>Source!BZ77</f>
        <v>95</v>
      </c>
      <c r="F119" s="53"/>
      <c r="G119" s="33"/>
      <c r="H119" s="32">
        <f>SUM(S115:S122)</f>
        <v>640.42999999999995</v>
      </c>
      <c r="I119" s="35"/>
      <c r="J119" s="30">
        <f>Source!AT77</f>
        <v>95</v>
      </c>
      <c r="K119" s="32">
        <f>SUM(T115:T122)</f>
        <v>19245.150000000001</v>
      </c>
      <c r="L119" s="34"/>
    </row>
    <row r="120" spans="1:26" ht="14.25" x14ac:dyDescent="0.2">
      <c r="A120" s="48"/>
      <c r="B120" s="49"/>
      <c r="C120" s="49" t="s">
        <v>528</v>
      </c>
      <c r="D120" s="31" t="s">
        <v>527</v>
      </c>
      <c r="E120" s="10">
        <f>Source!CA77</f>
        <v>65</v>
      </c>
      <c r="F120" s="53"/>
      <c r="G120" s="33"/>
      <c r="H120" s="32">
        <f>SUM(U115:U122)</f>
        <v>438.19</v>
      </c>
      <c r="I120" s="35"/>
      <c r="J120" s="30">
        <f>Source!AU77</f>
        <v>65</v>
      </c>
      <c r="K120" s="32">
        <f>SUM(V115:V122)</f>
        <v>13167.73</v>
      </c>
      <c r="L120" s="34"/>
    </row>
    <row r="121" spans="1:26" ht="14.25" x14ac:dyDescent="0.2">
      <c r="A121" s="48"/>
      <c r="B121" s="49"/>
      <c r="C121" s="49" t="s">
        <v>529</v>
      </c>
      <c r="D121" s="31" t="s">
        <v>530</v>
      </c>
      <c r="E121" s="10">
        <f>Source!AQ77</f>
        <v>5.3</v>
      </c>
      <c r="F121" s="32"/>
      <c r="G121" s="33" t="str">
        <f>Source!DI77</f>
        <v>)*1,2)*1,15</v>
      </c>
      <c r="H121" s="32"/>
      <c r="I121" s="33"/>
      <c r="J121" s="33"/>
      <c r="K121" s="32"/>
      <c r="L121" s="44">
        <f>Source!U77</f>
        <v>70.068119999999993</v>
      </c>
    </row>
    <row r="122" spans="1:26" ht="28.5" x14ac:dyDescent="0.2">
      <c r="A122" s="50" t="str">
        <f>Source!E78</f>
        <v>11,1</v>
      </c>
      <c r="B122" s="51" t="s">
        <v>547</v>
      </c>
      <c r="C122" s="51" t="str">
        <f>Source!G78</f>
        <v>Песок природный для строительных работ средний</v>
      </c>
      <c r="D122" s="36" t="str">
        <f>Source!H78</f>
        <v>м3</v>
      </c>
      <c r="E122" s="37">
        <f>Source!I78</f>
        <v>114.96000000000001</v>
      </c>
      <c r="F122" s="38">
        <f>Source!AL78+Source!AM78+Source!AO78</f>
        <v>55.26</v>
      </c>
      <c r="G122" s="46" t="s">
        <v>6</v>
      </c>
      <c r="H122" s="38">
        <f>ROUND(Source!AC78*Source!I78, 2)+ROUND(Source!AD78*Source!I78, 2)+ROUND(Source!AF78*Source!I78, 2)</f>
        <v>6352.69</v>
      </c>
      <c r="I122" s="39"/>
      <c r="J122" s="39">
        <f>IF(Source!BC78&lt;&gt; 0, Source!BC78, 1)</f>
        <v>9.9600000000000009</v>
      </c>
      <c r="K122" s="38">
        <f>Source!O78</f>
        <v>63272.79</v>
      </c>
      <c r="L122" s="43"/>
      <c r="S122">
        <f>ROUND((Source!FX78/100)*((ROUND(Source!AF78*Source!I78, 2)+ROUND(Source!AE78*Source!I78, 2))), 2)</f>
        <v>0</v>
      </c>
      <c r="T122">
        <f>Source!X78</f>
        <v>0</v>
      </c>
      <c r="U122">
        <f>ROUND((Source!FY78/100)*((ROUND(Source!AF78*Source!I78, 2)+ROUND(Source!AE78*Source!I78, 2))), 2)</f>
        <v>0</v>
      </c>
      <c r="V122">
        <f>Source!Y78</f>
        <v>0</v>
      </c>
      <c r="W122">
        <f>IF(Source!BI78&lt;=1,H122, 0)</f>
        <v>0</v>
      </c>
      <c r="X122">
        <f>IF(Source!BI78=2,H122, 0)</f>
        <v>6352.69</v>
      </c>
      <c r="Y122">
        <f>IF(Source!BI78=3,H122, 0)</f>
        <v>0</v>
      </c>
      <c r="Z122">
        <f>IF(Source!BI78=4,H122, 0)</f>
        <v>0</v>
      </c>
    </row>
    <row r="123" spans="1:26" ht="15" x14ac:dyDescent="0.25">
      <c r="G123" s="81">
        <f>H116+H117+H118+H119+H120+SUM(H122:H122)</f>
        <v>12609.58</v>
      </c>
      <c r="H123" s="81"/>
      <c r="J123" s="81">
        <f>K116+K117+K118+K119+K120+SUM(K122:K122)</f>
        <v>161989.85999999999</v>
      </c>
      <c r="K123" s="81"/>
      <c r="L123" s="41">
        <f>Source!U77</f>
        <v>70.068119999999993</v>
      </c>
      <c r="O123" s="26">
        <f>G123</f>
        <v>12609.58</v>
      </c>
      <c r="P123" s="26">
        <f>J123</f>
        <v>161989.85999999999</v>
      </c>
      <c r="Q123" s="26">
        <f>L123</f>
        <v>70.068119999999993</v>
      </c>
      <c r="W123">
        <f>IF(Source!BI77&lt;=1,H116+H117+H118+H119+H120, 0)</f>
        <v>0</v>
      </c>
      <c r="X123">
        <f>IF(Source!BI77=2,H116+H117+H118+H119+H120, 0)</f>
        <v>6256.89</v>
      </c>
      <c r="Y123">
        <f>IF(Source!BI77=3,H116+H117+H118+H119+H120, 0)</f>
        <v>0</v>
      </c>
      <c r="Z123">
        <f>IF(Source!BI77=4,H116+H117+H118+H119+H120, 0)</f>
        <v>0</v>
      </c>
    </row>
    <row r="124" spans="1:26" ht="105" x14ac:dyDescent="0.2">
      <c r="A124" s="48" t="str">
        <f>Source!E79</f>
        <v>12</v>
      </c>
      <c r="B124" s="49" t="s">
        <v>548</v>
      </c>
      <c r="C124" s="49" t="str">
        <f>Source!G79</f>
        <v>Кабель до 35 кВ в готовых траншеях без покрытий, масса 1 м до 6 кг</v>
      </c>
      <c r="D124" s="31" t="str">
        <f>Source!H79</f>
        <v>100 М КАБЕЛЯ</v>
      </c>
      <c r="E124" s="10">
        <f>Source!I79</f>
        <v>9.58</v>
      </c>
      <c r="F124" s="32">
        <f>Source!AL79+Source!AM79+Source!AO79</f>
        <v>572.23</v>
      </c>
      <c r="G124" s="33"/>
      <c r="H124" s="32"/>
      <c r="I124" s="33" t="str">
        <f>Source!BO79</f>
        <v>м08-02-141-4</v>
      </c>
      <c r="J124" s="33"/>
      <c r="K124" s="32"/>
      <c r="L124" s="34"/>
      <c r="S124">
        <f>ROUND((Source!FX79/100)*((ROUND(Source!AF79*Source!I79, 2)+ROUND(Source!AE79*Source!I79, 2))), 2)</f>
        <v>2330.85</v>
      </c>
      <c r="T124">
        <f>Source!X79</f>
        <v>70042.259999999995</v>
      </c>
      <c r="U124">
        <f>ROUND((Source!FY79/100)*((ROUND(Source!AF79*Source!I79, 2)+ROUND(Source!AE79*Source!I79, 2))), 2)</f>
        <v>1594.79</v>
      </c>
      <c r="V124">
        <f>Source!Y79</f>
        <v>47923.65</v>
      </c>
    </row>
    <row r="125" spans="1:26" ht="14.25" x14ac:dyDescent="0.2">
      <c r="A125" s="48"/>
      <c r="B125" s="49"/>
      <c r="C125" s="49" t="s">
        <v>525</v>
      </c>
      <c r="D125" s="31"/>
      <c r="E125" s="10"/>
      <c r="F125" s="32">
        <f>Source!AO79</f>
        <v>167.77</v>
      </c>
      <c r="G125" s="33" t="str">
        <f>Source!DG79</f>
        <v>)*1,2)*1,15</v>
      </c>
      <c r="H125" s="32">
        <f>ROUND(Source!AF79*Source!I79, 2)</f>
        <v>2217.96</v>
      </c>
      <c r="I125" s="33"/>
      <c r="J125" s="33">
        <f>IF(Source!BA79&lt;&gt; 0, Source!BA79, 1)</f>
        <v>30.05</v>
      </c>
      <c r="K125" s="32">
        <f>Source!S79</f>
        <v>66649.75</v>
      </c>
      <c r="L125" s="34"/>
      <c r="R125">
        <f>H125</f>
        <v>2217.96</v>
      </c>
    </row>
    <row r="126" spans="1:26" ht="14.25" x14ac:dyDescent="0.2">
      <c r="A126" s="48"/>
      <c r="B126" s="49"/>
      <c r="C126" s="49" t="s">
        <v>151</v>
      </c>
      <c r="D126" s="31"/>
      <c r="E126" s="10"/>
      <c r="F126" s="32">
        <f>Source!AM79</f>
        <v>329.6</v>
      </c>
      <c r="G126" s="33" t="str">
        <f>Source!DE79</f>
        <v>)*1,2)*1,15</v>
      </c>
      <c r="H126" s="32">
        <f>ROUND(Source!AD79*Source!I79, 2)</f>
        <v>4357.46</v>
      </c>
      <c r="I126" s="33"/>
      <c r="J126" s="33">
        <f>IF(Source!BB79&lt;&gt; 0, Source!BB79, 1)</f>
        <v>8.7799999999999994</v>
      </c>
      <c r="K126" s="32">
        <f>Source!Q79</f>
        <v>38258.53</v>
      </c>
      <c r="L126" s="34"/>
    </row>
    <row r="127" spans="1:26" ht="14.25" x14ac:dyDescent="0.2">
      <c r="A127" s="48"/>
      <c r="B127" s="49"/>
      <c r="C127" s="49" t="s">
        <v>533</v>
      </c>
      <c r="D127" s="31"/>
      <c r="E127" s="10"/>
      <c r="F127" s="32">
        <f>Source!AN79</f>
        <v>17.82</v>
      </c>
      <c r="G127" s="33" t="str">
        <f>Source!DF79</f>
        <v>)*1,2)*1,15</v>
      </c>
      <c r="H127" s="47">
        <f>ROUND(Source!AE79*Source!I79, 2)</f>
        <v>235.57</v>
      </c>
      <c r="I127" s="33"/>
      <c r="J127" s="33">
        <f>IF(Source!BS79&lt;&gt; 0, Source!BS79, 1)</f>
        <v>30.05</v>
      </c>
      <c r="K127" s="47">
        <f>Source!R79</f>
        <v>7078.94</v>
      </c>
      <c r="L127" s="34"/>
      <c r="R127">
        <f>H127</f>
        <v>235.57</v>
      </c>
    </row>
    <row r="128" spans="1:26" ht="14.25" x14ac:dyDescent="0.2">
      <c r="A128" s="48"/>
      <c r="B128" s="49"/>
      <c r="C128" s="49" t="s">
        <v>536</v>
      </c>
      <c r="D128" s="31"/>
      <c r="E128" s="10"/>
      <c r="F128" s="32">
        <f>Source!AL79</f>
        <v>74.86</v>
      </c>
      <c r="G128" s="33" t="str">
        <f>Source!DD79</f>
        <v/>
      </c>
      <c r="H128" s="32">
        <f>ROUND(Source!AC79*Source!I79, 2)</f>
        <v>717.16</v>
      </c>
      <c r="I128" s="33"/>
      <c r="J128" s="33">
        <f>IF(Source!BC79&lt;&gt; 0, Source!BC79, 1)</f>
        <v>6.83</v>
      </c>
      <c r="K128" s="32">
        <f>Source!P79</f>
        <v>4898.1899999999996</v>
      </c>
      <c r="L128" s="34"/>
    </row>
    <row r="129" spans="1:26" ht="14.25" x14ac:dyDescent="0.2">
      <c r="A129" s="48"/>
      <c r="B129" s="49"/>
      <c r="C129" s="49" t="s">
        <v>526</v>
      </c>
      <c r="D129" s="31" t="s">
        <v>527</v>
      </c>
      <c r="E129" s="10">
        <f>Source!BZ79</f>
        <v>95</v>
      </c>
      <c r="F129" s="53"/>
      <c r="G129" s="33"/>
      <c r="H129" s="32">
        <f>SUM(S124:S131)</f>
        <v>2330.85</v>
      </c>
      <c r="I129" s="35"/>
      <c r="J129" s="30">
        <f>Source!AT79</f>
        <v>95</v>
      </c>
      <c r="K129" s="32">
        <f>SUM(T124:T131)</f>
        <v>70042.259999999995</v>
      </c>
      <c r="L129" s="34"/>
    </row>
    <row r="130" spans="1:26" ht="14.25" x14ac:dyDescent="0.2">
      <c r="A130" s="48"/>
      <c r="B130" s="49"/>
      <c r="C130" s="49" t="s">
        <v>528</v>
      </c>
      <c r="D130" s="31" t="s">
        <v>527</v>
      </c>
      <c r="E130" s="10">
        <f>Source!CA79</f>
        <v>65</v>
      </c>
      <c r="F130" s="53"/>
      <c r="G130" s="33"/>
      <c r="H130" s="32">
        <f>SUM(U124:U131)</f>
        <v>1594.79</v>
      </c>
      <c r="I130" s="35"/>
      <c r="J130" s="30">
        <f>Source!AU79</f>
        <v>65</v>
      </c>
      <c r="K130" s="32">
        <f>SUM(V124:V131)</f>
        <v>47923.65</v>
      </c>
      <c r="L130" s="34"/>
    </row>
    <row r="131" spans="1:26" ht="14.25" x14ac:dyDescent="0.2">
      <c r="A131" s="50"/>
      <c r="B131" s="51"/>
      <c r="C131" s="51" t="s">
        <v>529</v>
      </c>
      <c r="D131" s="36" t="s">
        <v>530</v>
      </c>
      <c r="E131" s="37">
        <f>Source!AQ79</f>
        <v>17.440000000000001</v>
      </c>
      <c r="F131" s="38"/>
      <c r="G131" s="39" t="str">
        <f>Source!DI79</f>
        <v>)*1,2)*1,15</v>
      </c>
      <c r="H131" s="38"/>
      <c r="I131" s="39"/>
      <c r="J131" s="39"/>
      <c r="K131" s="38"/>
      <c r="L131" s="40">
        <f>Source!U79</f>
        <v>230.56377599999999</v>
      </c>
    </row>
    <row r="132" spans="1:26" ht="15" x14ac:dyDescent="0.25">
      <c r="G132" s="81">
        <f>H125+H126+H128+H129+H130</f>
        <v>11218.220000000001</v>
      </c>
      <c r="H132" s="81"/>
      <c r="J132" s="81">
        <f>K125+K126+K128+K129+K130</f>
        <v>227772.37999999998</v>
      </c>
      <c r="K132" s="81"/>
      <c r="L132" s="41">
        <f>Source!U79</f>
        <v>230.56377599999999</v>
      </c>
      <c r="O132" s="26">
        <f>G132</f>
        <v>11218.220000000001</v>
      </c>
      <c r="P132" s="26">
        <f>J132</f>
        <v>227772.37999999998</v>
      </c>
      <c r="Q132" s="26">
        <f>L132</f>
        <v>230.56377599999999</v>
      </c>
      <c r="W132">
        <f>IF(Source!BI79&lt;=1,H125+H126+H128+H129+H130, 0)</f>
        <v>0</v>
      </c>
      <c r="X132">
        <f>IF(Source!BI79=2,H125+H126+H128+H129+H130, 0)</f>
        <v>11218.220000000001</v>
      </c>
      <c r="Y132">
        <f>IF(Source!BI79=3,H125+H126+H128+H129+H130, 0)</f>
        <v>0</v>
      </c>
      <c r="Z132">
        <f>IF(Source!BI79=4,H125+H126+H128+H129+H130, 0)</f>
        <v>0</v>
      </c>
    </row>
    <row r="133" spans="1:26" ht="105" x14ac:dyDescent="0.2">
      <c r="A133" s="48" t="str">
        <f>Source!E80</f>
        <v>13</v>
      </c>
      <c r="B133" s="49" t="s">
        <v>549</v>
      </c>
      <c r="C133" s="49" t="str">
        <f>Source!G80</f>
        <v>Кабель до 35 кВ в проложенных трубах, блоках и коробах, масса 1 м кабеля до 6 кг</v>
      </c>
      <c r="D133" s="31" t="str">
        <f>Source!H80</f>
        <v>100 М КАБЕЛЯ</v>
      </c>
      <c r="E133" s="10">
        <f>Source!I80</f>
        <v>0.7</v>
      </c>
      <c r="F133" s="32">
        <f>Source!AL80+Source!AM80+Source!AO80</f>
        <v>353.90999999999997</v>
      </c>
      <c r="G133" s="33"/>
      <c r="H133" s="32"/>
      <c r="I133" s="33" t="str">
        <f>Source!BO80</f>
        <v>м08-02-148-4</v>
      </c>
      <c r="J133" s="33"/>
      <c r="K133" s="32"/>
      <c r="L133" s="34"/>
      <c r="S133">
        <f>ROUND((Source!FX80/100)*((ROUND(Source!AF80*Source!I80, 2)+ROUND(Source!AE80*Source!I80, 2))), 2)</f>
        <v>205.87</v>
      </c>
      <c r="T133">
        <f>Source!X80</f>
        <v>6186.62</v>
      </c>
      <c r="U133">
        <f>ROUND((Source!FY80/100)*((ROUND(Source!AF80*Source!I80, 2)+ROUND(Source!AE80*Source!I80, 2))), 2)</f>
        <v>140.86000000000001</v>
      </c>
      <c r="V133">
        <f>Source!Y80</f>
        <v>4232.95</v>
      </c>
    </row>
    <row r="134" spans="1:26" ht="14.25" x14ac:dyDescent="0.2">
      <c r="A134" s="48"/>
      <c r="B134" s="49"/>
      <c r="C134" s="49" t="s">
        <v>525</v>
      </c>
      <c r="D134" s="31"/>
      <c r="E134" s="10"/>
      <c r="F134" s="32">
        <f>Source!AO80</f>
        <v>221.64</v>
      </c>
      <c r="G134" s="33" t="str">
        <f>Source!DG80</f>
        <v>)*1,2)*1,15</v>
      </c>
      <c r="H134" s="32">
        <f>ROUND(Source!AF80*Source!I80, 2)</f>
        <v>214.1</v>
      </c>
      <c r="I134" s="33"/>
      <c r="J134" s="33">
        <f>IF(Source!BA80&lt;&gt; 0, Source!BA80, 1)</f>
        <v>30.05</v>
      </c>
      <c r="K134" s="32">
        <f>Source!S80</f>
        <v>6433.77</v>
      </c>
      <c r="L134" s="34"/>
      <c r="R134">
        <f>H134</f>
        <v>214.1</v>
      </c>
    </row>
    <row r="135" spans="1:26" ht="14.25" x14ac:dyDescent="0.2">
      <c r="A135" s="48"/>
      <c r="B135" s="49"/>
      <c r="C135" s="49" t="s">
        <v>151</v>
      </c>
      <c r="D135" s="31"/>
      <c r="E135" s="10"/>
      <c r="F135" s="32">
        <f>Source!AM80</f>
        <v>92.01</v>
      </c>
      <c r="G135" s="33" t="str">
        <f>Source!DE80</f>
        <v>)*1,2)*1,15</v>
      </c>
      <c r="H135" s="32">
        <f>ROUND(Source!AD80*Source!I80, 2)</f>
        <v>88.89</v>
      </c>
      <c r="I135" s="33"/>
      <c r="J135" s="33">
        <f>IF(Source!BB80&lt;&gt; 0, Source!BB80, 1)</f>
        <v>8.83</v>
      </c>
      <c r="K135" s="32">
        <f>Source!Q80</f>
        <v>784.86</v>
      </c>
      <c r="L135" s="34"/>
    </row>
    <row r="136" spans="1:26" ht="14.25" x14ac:dyDescent="0.2">
      <c r="A136" s="48"/>
      <c r="B136" s="49"/>
      <c r="C136" s="49" t="s">
        <v>533</v>
      </c>
      <c r="D136" s="31"/>
      <c r="E136" s="10"/>
      <c r="F136" s="32">
        <f>Source!AN80</f>
        <v>2.7</v>
      </c>
      <c r="G136" s="33" t="str">
        <f>Source!DF80</f>
        <v>)*1,2)*1,15</v>
      </c>
      <c r="H136" s="47">
        <f>ROUND(Source!AE80*Source!I80, 2)</f>
        <v>2.61</v>
      </c>
      <c r="I136" s="33"/>
      <c r="J136" s="33">
        <f>IF(Source!BS80&lt;&gt; 0, Source!BS80, 1)</f>
        <v>30.05</v>
      </c>
      <c r="K136" s="47">
        <f>Source!R80</f>
        <v>78.459999999999994</v>
      </c>
      <c r="L136" s="34"/>
      <c r="R136">
        <f>H136</f>
        <v>2.61</v>
      </c>
    </row>
    <row r="137" spans="1:26" ht="14.25" x14ac:dyDescent="0.2">
      <c r="A137" s="48"/>
      <c r="B137" s="49"/>
      <c r="C137" s="49" t="s">
        <v>536</v>
      </c>
      <c r="D137" s="31"/>
      <c r="E137" s="10"/>
      <c r="F137" s="32">
        <f>Source!AL80</f>
        <v>40.26</v>
      </c>
      <c r="G137" s="33" t="str">
        <f>Source!DD80</f>
        <v/>
      </c>
      <c r="H137" s="32">
        <f>ROUND(Source!AC80*Source!I80, 2)</f>
        <v>28.18</v>
      </c>
      <c r="I137" s="33"/>
      <c r="J137" s="33">
        <f>IF(Source!BC80&lt;&gt; 0, Source!BC80, 1)</f>
        <v>10.119999999999999</v>
      </c>
      <c r="K137" s="32">
        <f>Source!P80</f>
        <v>285.2</v>
      </c>
      <c r="L137" s="34"/>
    </row>
    <row r="138" spans="1:26" ht="14.25" x14ac:dyDescent="0.2">
      <c r="A138" s="48"/>
      <c r="B138" s="49"/>
      <c r="C138" s="49" t="s">
        <v>526</v>
      </c>
      <c r="D138" s="31" t="s">
        <v>527</v>
      </c>
      <c r="E138" s="10">
        <f>Source!BZ80</f>
        <v>95</v>
      </c>
      <c r="F138" s="53"/>
      <c r="G138" s="33"/>
      <c r="H138" s="32">
        <f>SUM(S133:S140)</f>
        <v>205.87</v>
      </c>
      <c r="I138" s="35"/>
      <c r="J138" s="30">
        <f>Source!AT80</f>
        <v>95</v>
      </c>
      <c r="K138" s="32">
        <f>SUM(T133:T140)</f>
        <v>6186.62</v>
      </c>
      <c r="L138" s="34"/>
    </row>
    <row r="139" spans="1:26" ht="14.25" x14ac:dyDescent="0.2">
      <c r="A139" s="48"/>
      <c r="B139" s="49"/>
      <c r="C139" s="49" t="s">
        <v>528</v>
      </c>
      <c r="D139" s="31" t="s">
        <v>527</v>
      </c>
      <c r="E139" s="10">
        <f>Source!CA80</f>
        <v>65</v>
      </c>
      <c r="F139" s="53"/>
      <c r="G139" s="33"/>
      <c r="H139" s="32">
        <f>SUM(U133:U140)</f>
        <v>140.86000000000001</v>
      </c>
      <c r="I139" s="35"/>
      <c r="J139" s="30">
        <f>Source!AU80</f>
        <v>65</v>
      </c>
      <c r="K139" s="32">
        <f>SUM(V133:V140)</f>
        <v>4232.95</v>
      </c>
      <c r="L139" s="34"/>
    </row>
    <row r="140" spans="1:26" ht="14.25" x14ac:dyDescent="0.2">
      <c r="A140" s="50"/>
      <c r="B140" s="51"/>
      <c r="C140" s="51" t="s">
        <v>529</v>
      </c>
      <c r="D140" s="36" t="s">
        <v>530</v>
      </c>
      <c r="E140" s="37">
        <f>Source!AQ80</f>
        <v>23.04</v>
      </c>
      <c r="F140" s="38"/>
      <c r="G140" s="39" t="str">
        <f>Source!DI80</f>
        <v>)*1,2)*1,15</v>
      </c>
      <c r="H140" s="38"/>
      <c r="I140" s="39"/>
      <c r="J140" s="39"/>
      <c r="K140" s="38"/>
      <c r="L140" s="40">
        <f>Source!U80</f>
        <v>22.256639999999997</v>
      </c>
    </row>
    <row r="141" spans="1:26" ht="15" x14ac:dyDescent="0.25">
      <c r="G141" s="81">
        <f>H134+H135+H137+H138+H139</f>
        <v>677.9</v>
      </c>
      <c r="H141" s="81"/>
      <c r="J141" s="81">
        <f>K134+K135+K137+K138+K139</f>
        <v>17923.400000000001</v>
      </c>
      <c r="K141" s="81"/>
      <c r="L141" s="41">
        <f>Source!U80</f>
        <v>22.256639999999997</v>
      </c>
      <c r="O141" s="26">
        <f>G141</f>
        <v>677.9</v>
      </c>
      <c r="P141" s="26">
        <f>J141</f>
        <v>17923.400000000001</v>
      </c>
      <c r="Q141" s="26">
        <f>L141</f>
        <v>22.256639999999997</v>
      </c>
      <c r="W141">
        <f>IF(Source!BI80&lt;=1,H134+H135+H137+H138+H139, 0)</f>
        <v>0</v>
      </c>
      <c r="X141">
        <f>IF(Source!BI80=2,H134+H135+H137+H138+H139, 0)</f>
        <v>677.9</v>
      </c>
      <c r="Y141">
        <f>IF(Source!BI80=3,H134+H135+H137+H138+H139, 0)</f>
        <v>0</v>
      </c>
      <c r="Z141">
        <f>IF(Source!BI80=4,H134+H135+H137+H138+H139, 0)</f>
        <v>0</v>
      </c>
    </row>
    <row r="142" spans="1:26" ht="66.75" x14ac:dyDescent="0.2">
      <c r="A142" s="48" t="str">
        <f>Source!E81</f>
        <v>14</v>
      </c>
      <c r="B142" s="49" t="s">
        <v>550</v>
      </c>
      <c r="C142" s="49" t="str">
        <f>Source!G81</f>
        <v>Кабель до 35 кВ с креплением накладными скобами, масса 1 м кабеля до 6 кг ( на опоре)</v>
      </c>
      <c r="D142" s="31" t="str">
        <f>Source!H81</f>
        <v>100 М КАБЕЛЯ</v>
      </c>
      <c r="E142" s="10">
        <f>Source!I81</f>
        <v>0.12</v>
      </c>
      <c r="F142" s="32">
        <f>Source!AL81+Source!AM81+Source!AO81</f>
        <v>1456.69</v>
      </c>
      <c r="G142" s="33"/>
      <c r="H142" s="32"/>
      <c r="I142" s="33" t="str">
        <f>Source!BO81</f>
        <v>м08-02-146-5</v>
      </c>
      <c r="J142" s="33"/>
      <c r="K142" s="32"/>
      <c r="L142" s="34"/>
      <c r="S142">
        <f>ROUND((Source!FX81/100)*((ROUND(Source!AF81*Source!I81, 2)+ROUND(Source!AE81*Source!I81, 2))), 2)</f>
        <v>51.83</v>
      </c>
      <c r="T142">
        <f>Source!X81</f>
        <v>1557.74</v>
      </c>
      <c r="U142">
        <f>ROUND((Source!FY81/100)*((ROUND(Source!AF81*Source!I81, 2)+ROUND(Source!AE81*Source!I81, 2))), 2)</f>
        <v>35.46</v>
      </c>
      <c r="V142">
        <f>Source!Y81</f>
        <v>1065.82</v>
      </c>
    </row>
    <row r="143" spans="1:26" ht="14.25" x14ac:dyDescent="0.2">
      <c r="A143" s="48"/>
      <c r="B143" s="49"/>
      <c r="C143" s="49" t="s">
        <v>525</v>
      </c>
      <c r="D143" s="31"/>
      <c r="E143" s="10"/>
      <c r="F143" s="32">
        <f>Source!AO81</f>
        <v>233.96</v>
      </c>
      <c r="G143" s="33" t="str">
        <f>Source!DG81</f>
        <v>)*1,35</v>
      </c>
      <c r="H143" s="32">
        <f>ROUND(Source!AF81*Source!I81, 2)</f>
        <v>37.9</v>
      </c>
      <c r="I143" s="33"/>
      <c r="J143" s="33">
        <f>IF(Source!BA81&lt;&gt; 0, Source!BA81, 1)</f>
        <v>30.05</v>
      </c>
      <c r="K143" s="32">
        <f>Source!S81</f>
        <v>1138.96</v>
      </c>
      <c r="L143" s="34"/>
      <c r="R143">
        <f>H143</f>
        <v>37.9</v>
      </c>
    </row>
    <row r="144" spans="1:26" ht="14.25" x14ac:dyDescent="0.2">
      <c r="A144" s="48"/>
      <c r="B144" s="49"/>
      <c r="C144" s="49" t="s">
        <v>151</v>
      </c>
      <c r="D144" s="31"/>
      <c r="E144" s="10"/>
      <c r="F144" s="32">
        <f>Source!AM81</f>
        <v>1154.83</v>
      </c>
      <c r="G144" s="33" t="str">
        <f>Source!DE81</f>
        <v>)*1,35</v>
      </c>
      <c r="H144" s="32">
        <f>ROUND(Source!AD81*Source!I81, 2)</f>
        <v>187.08</v>
      </c>
      <c r="I144" s="33"/>
      <c r="J144" s="33">
        <f>IF(Source!BB81&lt;&gt; 0, Source!BB81, 1)</f>
        <v>6.9</v>
      </c>
      <c r="K144" s="32">
        <f>Source!Q81</f>
        <v>1290.8699999999999</v>
      </c>
      <c r="L144" s="34"/>
    </row>
    <row r="145" spans="1:26" ht="14.25" x14ac:dyDescent="0.2">
      <c r="A145" s="48"/>
      <c r="B145" s="49"/>
      <c r="C145" s="49" t="s">
        <v>533</v>
      </c>
      <c r="D145" s="31"/>
      <c r="E145" s="10"/>
      <c r="F145" s="32">
        <f>Source!AN81</f>
        <v>102.87</v>
      </c>
      <c r="G145" s="33" t="str">
        <f>Source!DF81</f>
        <v>)*1,35</v>
      </c>
      <c r="H145" s="47">
        <f>ROUND(Source!AE81*Source!I81, 2)</f>
        <v>16.66</v>
      </c>
      <c r="I145" s="33"/>
      <c r="J145" s="33">
        <f>IF(Source!BS81&lt;&gt; 0, Source!BS81, 1)</f>
        <v>30.05</v>
      </c>
      <c r="K145" s="47">
        <f>Source!R81</f>
        <v>500.77</v>
      </c>
      <c r="L145" s="34"/>
      <c r="R145">
        <f>H145</f>
        <v>16.66</v>
      </c>
    </row>
    <row r="146" spans="1:26" ht="14.25" x14ac:dyDescent="0.2">
      <c r="A146" s="48"/>
      <c r="B146" s="49"/>
      <c r="C146" s="49" t="s">
        <v>536</v>
      </c>
      <c r="D146" s="31"/>
      <c r="E146" s="10"/>
      <c r="F146" s="32">
        <f>Source!AL81</f>
        <v>67.900000000000006</v>
      </c>
      <c r="G146" s="33" t="str">
        <f>Source!DD81</f>
        <v/>
      </c>
      <c r="H146" s="32">
        <f>ROUND(Source!AC81*Source!I81, 2)</f>
        <v>8.15</v>
      </c>
      <c r="I146" s="33"/>
      <c r="J146" s="33">
        <f>IF(Source!BC81&lt;&gt; 0, Source!BC81, 1)</f>
        <v>9.8000000000000007</v>
      </c>
      <c r="K146" s="32">
        <f>Source!P81</f>
        <v>79.849999999999994</v>
      </c>
      <c r="L146" s="34"/>
    </row>
    <row r="147" spans="1:26" ht="14.25" x14ac:dyDescent="0.2">
      <c r="A147" s="48"/>
      <c r="B147" s="49"/>
      <c r="C147" s="49" t="s">
        <v>526</v>
      </c>
      <c r="D147" s="31" t="s">
        <v>527</v>
      </c>
      <c r="E147" s="10">
        <f>Source!BZ81</f>
        <v>95</v>
      </c>
      <c r="F147" s="53"/>
      <c r="G147" s="33"/>
      <c r="H147" s="32">
        <f>SUM(S142:S149)</f>
        <v>51.83</v>
      </c>
      <c r="I147" s="35"/>
      <c r="J147" s="30">
        <f>Source!AT81</f>
        <v>95</v>
      </c>
      <c r="K147" s="32">
        <f>SUM(T142:T149)</f>
        <v>1557.74</v>
      </c>
      <c r="L147" s="34"/>
    </row>
    <row r="148" spans="1:26" ht="14.25" x14ac:dyDescent="0.2">
      <c r="A148" s="48"/>
      <c r="B148" s="49"/>
      <c r="C148" s="49" t="s">
        <v>528</v>
      </c>
      <c r="D148" s="31" t="s">
        <v>527</v>
      </c>
      <c r="E148" s="10">
        <f>Source!CA81</f>
        <v>65</v>
      </c>
      <c r="F148" s="53"/>
      <c r="G148" s="33"/>
      <c r="H148" s="32">
        <f>SUM(U142:U149)</f>
        <v>35.46</v>
      </c>
      <c r="I148" s="35"/>
      <c r="J148" s="30">
        <f>Source!AU81</f>
        <v>65</v>
      </c>
      <c r="K148" s="32">
        <f>SUM(V142:V149)</f>
        <v>1065.82</v>
      </c>
      <c r="L148" s="34"/>
    </row>
    <row r="149" spans="1:26" ht="14.25" x14ac:dyDescent="0.2">
      <c r="A149" s="50"/>
      <c r="B149" s="51"/>
      <c r="C149" s="51" t="s">
        <v>529</v>
      </c>
      <c r="D149" s="36" t="s">
        <v>530</v>
      </c>
      <c r="E149" s="37">
        <f>Source!AQ81</f>
        <v>24.32</v>
      </c>
      <c r="F149" s="38"/>
      <c r="G149" s="39" t="str">
        <f>Source!DI81</f>
        <v>)*1,35</v>
      </c>
      <c r="H149" s="38"/>
      <c r="I149" s="39"/>
      <c r="J149" s="39"/>
      <c r="K149" s="38"/>
      <c r="L149" s="40">
        <f>Source!U81</f>
        <v>3.9398399999999998</v>
      </c>
    </row>
    <row r="150" spans="1:26" ht="15" x14ac:dyDescent="0.25">
      <c r="G150" s="81">
        <f>H143+H144+H146+H147+H148</f>
        <v>320.42</v>
      </c>
      <c r="H150" s="81"/>
      <c r="J150" s="81">
        <f>K143+K144+K146+K147+K148</f>
        <v>5133.24</v>
      </c>
      <c r="K150" s="81"/>
      <c r="L150" s="41">
        <f>Source!U81</f>
        <v>3.9398399999999998</v>
      </c>
      <c r="O150" s="26">
        <f>G150</f>
        <v>320.42</v>
      </c>
      <c r="P150" s="26">
        <f>J150</f>
        <v>5133.24</v>
      </c>
      <c r="Q150" s="26">
        <f>L150</f>
        <v>3.9398399999999998</v>
      </c>
      <c r="W150">
        <f>IF(Source!BI81&lt;=1,H143+H144+H146+H147+H148, 0)</f>
        <v>0</v>
      </c>
      <c r="X150">
        <f>IF(Source!BI81=2,H143+H144+H146+H147+H148, 0)</f>
        <v>320.42</v>
      </c>
      <c r="Y150">
        <f>IF(Source!BI81=3,H143+H144+H146+H147+H148, 0)</f>
        <v>0</v>
      </c>
      <c r="Z150">
        <f>IF(Source!BI81=4,H143+H144+H146+H147+H148, 0)</f>
        <v>0</v>
      </c>
    </row>
    <row r="151" spans="1:26" ht="105" x14ac:dyDescent="0.2">
      <c r="A151" s="48" t="str">
        <f>Source!E82</f>
        <v>15</v>
      </c>
      <c r="B151" s="49" t="s">
        <v>551</v>
      </c>
      <c r="C151" s="49" t="str">
        <f>Source!G82</f>
        <v>Кожух металлический для защиты вводов и электрооборудования</v>
      </c>
      <c r="D151" s="31" t="str">
        <f>Source!H82</f>
        <v>1 кг</v>
      </c>
      <c r="E151" s="10">
        <f>Source!I82</f>
        <v>75.5</v>
      </c>
      <c r="F151" s="32">
        <f>Source!AL82+Source!AM82+Source!AO82</f>
        <v>8.2099999999999991</v>
      </c>
      <c r="G151" s="33"/>
      <c r="H151" s="32"/>
      <c r="I151" s="33" t="str">
        <f>Source!BO82</f>
        <v>м08-03-545-17</v>
      </c>
      <c r="J151" s="33"/>
      <c r="K151" s="32"/>
      <c r="L151" s="34"/>
      <c r="S151">
        <f>ROUND((Source!FX82/100)*((ROUND(Source!AF82*Source!I82, 2)+ROUND(Source!AE82*Source!I82, 2))), 2)</f>
        <v>154.21</v>
      </c>
      <c r="T151">
        <f>Source!X82</f>
        <v>4633.9799999999996</v>
      </c>
      <c r="U151">
        <f>ROUND((Source!FY82/100)*((ROUND(Source!AF82*Source!I82, 2)+ROUND(Source!AE82*Source!I82, 2))), 2)</f>
        <v>105.51</v>
      </c>
      <c r="V151">
        <f>Source!Y82</f>
        <v>3170.62</v>
      </c>
    </row>
    <row r="152" spans="1:26" ht="14.25" x14ac:dyDescent="0.2">
      <c r="A152" s="48"/>
      <c r="B152" s="49"/>
      <c r="C152" s="49" t="s">
        <v>525</v>
      </c>
      <c r="D152" s="31"/>
      <c r="E152" s="10"/>
      <c r="F152" s="32">
        <f>Source!AO82</f>
        <v>1.56</v>
      </c>
      <c r="G152" s="33" t="str">
        <f>Source!DG82</f>
        <v>)*1,2)*1,15</v>
      </c>
      <c r="H152" s="32">
        <f>ROUND(Source!AF82*Source!I82, 2)</f>
        <v>162.33000000000001</v>
      </c>
      <c r="I152" s="33"/>
      <c r="J152" s="33">
        <f>IF(Source!BA82&lt;&gt; 0, Source!BA82, 1)</f>
        <v>30.05</v>
      </c>
      <c r="K152" s="32">
        <f>Source!S82</f>
        <v>4877.87</v>
      </c>
      <c r="L152" s="34"/>
      <c r="R152">
        <f>H152</f>
        <v>162.33000000000001</v>
      </c>
    </row>
    <row r="153" spans="1:26" ht="14.25" x14ac:dyDescent="0.2">
      <c r="A153" s="48"/>
      <c r="B153" s="49"/>
      <c r="C153" s="49" t="s">
        <v>151</v>
      </c>
      <c r="D153" s="31"/>
      <c r="E153" s="10"/>
      <c r="F153" s="32">
        <f>Source!AM82</f>
        <v>0.14000000000000001</v>
      </c>
      <c r="G153" s="33" t="str">
        <f>Source!DE82</f>
        <v>)*1,2)*1,15</v>
      </c>
      <c r="H153" s="32">
        <f>ROUND(Source!AD82*Source!I82, 2)</f>
        <v>14.35</v>
      </c>
      <c r="I153" s="33"/>
      <c r="J153" s="33">
        <f>IF(Source!BB82&lt;&gt; 0, Source!BB82, 1)</f>
        <v>5.71</v>
      </c>
      <c r="K153" s="32">
        <f>Source!Q82</f>
        <v>81.91</v>
      </c>
      <c r="L153" s="34"/>
    </row>
    <row r="154" spans="1:26" ht="14.25" x14ac:dyDescent="0.2">
      <c r="A154" s="48"/>
      <c r="B154" s="49"/>
      <c r="C154" s="49" t="s">
        <v>536</v>
      </c>
      <c r="D154" s="31"/>
      <c r="E154" s="10"/>
      <c r="F154" s="32">
        <f>Source!AL82</f>
        <v>6.51</v>
      </c>
      <c r="G154" s="33" t="str">
        <f>Source!DD82</f>
        <v/>
      </c>
      <c r="H154" s="32">
        <f>ROUND(Source!AC82*Source!I82, 2)</f>
        <v>491.51</v>
      </c>
      <c r="I154" s="33"/>
      <c r="J154" s="33">
        <f>IF(Source!BC82&lt;&gt; 0, Source!BC82, 1)</f>
        <v>16.989999999999998</v>
      </c>
      <c r="K154" s="32">
        <f>Source!P82</f>
        <v>8350.67</v>
      </c>
      <c r="L154" s="34"/>
    </row>
    <row r="155" spans="1:26" ht="14.25" x14ac:dyDescent="0.2">
      <c r="A155" s="48"/>
      <c r="B155" s="49"/>
      <c r="C155" s="49" t="s">
        <v>526</v>
      </c>
      <c r="D155" s="31" t="s">
        <v>527</v>
      </c>
      <c r="E155" s="10">
        <f>Source!BZ82</f>
        <v>95</v>
      </c>
      <c r="F155" s="53"/>
      <c r="G155" s="33"/>
      <c r="H155" s="32">
        <f>SUM(S151:S158)</f>
        <v>154.21</v>
      </c>
      <c r="I155" s="35"/>
      <c r="J155" s="30">
        <f>Source!AT82</f>
        <v>95</v>
      </c>
      <c r="K155" s="32">
        <f>SUM(T151:T158)</f>
        <v>4633.9799999999996</v>
      </c>
      <c r="L155" s="34"/>
    </row>
    <row r="156" spans="1:26" ht="14.25" x14ac:dyDescent="0.2">
      <c r="A156" s="48"/>
      <c r="B156" s="49"/>
      <c r="C156" s="49" t="s">
        <v>528</v>
      </c>
      <c r="D156" s="31" t="s">
        <v>527</v>
      </c>
      <c r="E156" s="10">
        <f>Source!CA82</f>
        <v>65</v>
      </c>
      <c r="F156" s="53"/>
      <c r="G156" s="33"/>
      <c r="H156" s="32">
        <f>SUM(U151:U158)</f>
        <v>105.51</v>
      </c>
      <c r="I156" s="35"/>
      <c r="J156" s="30">
        <f>Source!AU82</f>
        <v>65</v>
      </c>
      <c r="K156" s="32">
        <f>SUM(V151:V158)</f>
        <v>3170.62</v>
      </c>
      <c r="L156" s="34"/>
    </row>
    <row r="157" spans="1:26" ht="14.25" x14ac:dyDescent="0.2">
      <c r="A157" s="48"/>
      <c r="B157" s="49"/>
      <c r="C157" s="49" t="s">
        <v>529</v>
      </c>
      <c r="D157" s="31" t="s">
        <v>530</v>
      </c>
      <c r="E157" s="10">
        <f>Source!AQ82</f>
        <v>0.17</v>
      </c>
      <c r="F157" s="32"/>
      <c r="G157" s="33" t="str">
        <f>Source!DI82</f>
        <v>)*1,2)*1,15</v>
      </c>
      <c r="H157" s="32"/>
      <c r="I157" s="33"/>
      <c r="J157" s="33"/>
      <c r="K157" s="32"/>
      <c r="L157" s="44">
        <f>Source!U82</f>
        <v>17.712299999999999</v>
      </c>
    </row>
    <row r="158" spans="1:26" ht="42.75" x14ac:dyDescent="0.2">
      <c r="A158" s="50" t="str">
        <f>Source!E83</f>
        <v>15,1</v>
      </c>
      <c r="B158" s="51" t="s">
        <v>552</v>
      </c>
      <c r="C158" s="51" t="str">
        <f>Source!G83</f>
        <v>Сталь угловая равнополочная, марка стали ВСт3кп2, размером 100х100х10 мм</v>
      </c>
      <c r="D158" s="36" t="str">
        <f>Source!H83</f>
        <v>т</v>
      </c>
      <c r="E158" s="37">
        <f>Source!I83</f>
        <v>7.5499999999999998E-2</v>
      </c>
      <c r="F158" s="38">
        <f>Source!AL83+Source!AM83+Source!AO83</f>
        <v>5763</v>
      </c>
      <c r="G158" s="46" t="s">
        <v>6</v>
      </c>
      <c r="H158" s="38">
        <f>ROUND(Source!AC83*Source!I83, 2)+ROUND(Source!AD83*Source!I83, 2)+ROUND(Source!AF83*Source!I83, 2)</f>
        <v>435.11</v>
      </c>
      <c r="I158" s="39"/>
      <c r="J158" s="39">
        <f>IF(Source!BC83&lt;&gt; 0, Source!BC83, 1)</f>
        <v>5.81</v>
      </c>
      <c r="K158" s="38">
        <f>Source!O83</f>
        <v>2527.9699999999998</v>
      </c>
      <c r="L158" s="43"/>
      <c r="S158">
        <f>ROUND((Source!FX83/100)*((ROUND(Source!AF83*Source!I83, 2)+ROUND(Source!AE83*Source!I83, 2))), 2)</f>
        <v>0</v>
      </c>
      <c r="T158">
        <f>Source!X83</f>
        <v>0</v>
      </c>
      <c r="U158">
        <f>ROUND((Source!FY83/100)*((ROUND(Source!AF83*Source!I83, 2)+ROUND(Source!AE83*Source!I83, 2))), 2)</f>
        <v>0</v>
      </c>
      <c r="V158">
        <f>Source!Y83</f>
        <v>0</v>
      </c>
      <c r="W158">
        <f>IF(Source!BI83&lt;=1,H158, 0)</f>
        <v>435.11</v>
      </c>
      <c r="X158">
        <f>IF(Source!BI83=2,H158, 0)</f>
        <v>0</v>
      </c>
      <c r="Y158">
        <f>IF(Source!BI83=3,H158, 0)</f>
        <v>0</v>
      </c>
      <c r="Z158">
        <f>IF(Source!BI83=4,H158, 0)</f>
        <v>0</v>
      </c>
    </row>
    <row r="159" spans="1:26" ht="15" x14ac:dyDescent="0.25">
      <c r="G159" s="81">
        <f>H152+H153+H154+H155+H156+SUM(H158:H158)</f>
        <v>1363.02</v>
      </c>
      <c r="H159" s="81"/>
      <c r="J159" s="81">
        <f>K152+K153+K154+K155+K156+SUM(K158:K158)</f>
        <v>23643.02</v>
      </c>
      <c r="K159" s="81"/>
      <c r="L159" s="41">
        <f>Source!U82</f>
        <v>17.712299999999999</v>
      </c>
      <c r="O159" s="26">
        <f>G159</f>
        <v>1363.02</v>
      </c>
      <c r="P159" s="26">
        <f>J159</f>
        <v>23643.02</v>
      </c>
      <c r="Q159" s="26">
        <f>L159</f>
        <v>17.712299999999999</v>
      </c>
      <c r="W159">
        <f>IF(Source!BI82&lt;=1,H152+H153+H154+H155+H156, 0)</f>
        <v>0</v>
      </c>
      <c r="X159">
        <f>IF(Source!BI82=2,H152+H153+H154+H155+H156, 0)</f>
        <v>927.91000000000008</v>
      </c>
      <c r="Y159">
        <f>IF(Source!BI82=3,H152+H153+H154+H155+H156, 0)</f>
        <v>0</v>
      </c>
      <c r="Z159">
        <f>IF(Source!BI82=4,H152+H153+H154+H155+H156, 0)</f>
        <v>0</v>
      </c>
    </row>
    <row r="160" spans="1:26" ht="66.75" x14ac:dyDescent="0.2">
      <c r="A160" s="48" t="str">
        <f>Source!E84</f>
        <v>16</v>
      </c>
      <c r="B160" s="49" t="s">
        <v>553</v>
      </c>
      <c r="C160" s="49" t="str">
        <f>Source!G84</f>
        <v>Муфта концевая эпоксидная для 3-жильного кабеля напряжением до 10 кВ, сечение одной жилы до 120 мм2</v>
      </c>
      <c r="D160" s="31" t="str">
        <f>Source!H84</f>
        <v>1  ШТ.</v>
      </c>
      <c r="E160" s="10">
        <f>Source!I84</f>
        <v>2</v>
      </c>
      <c r="F160" s="32">
        <f>Source!AL84+Source!AM84+Source!AO84</f>
        <v>766.22</v>
      </c>
      <c r="G160" s="33"/>
      <c r="H160" s="32"/>
      <c r="I160" s="33" t="str">
        <f>Source!BO84</f>
        <v>м08-02-165-7</v>
      </c>
      <c r="J160" s="33"/>
      <c r="K160" s="32"/>
      <c r="L160" s="34"/>
      <c r="S160">
        <f>ROUND((Source!FX84/100)*((ROUND(Source!AF84*Source!I84, 2)+ROUND(Source!AE84*Source!I84, 2))), 2)</f>
        <v>321.02</v>
      </c>
      <c r="T160">
        <f>Source!X84</f>
        <v>9646.7800000000007</v>
      </c>
      <c r="U160">
        <f>ROUND((Source!FY84/100)*((ROUND(Source!AF84*Source!I84, 2)+ROUND(Source!AE84*Source!I84, 2))), 2)</f>
        <v>219.65</v>
      </c>
      <c r="V160">
        <f>Source!Y84</f>
        <v>6600.43</v>
      </c>
    </row>
    <row r="161" spans="1:26" ht="14.25" x14ac:dyDescent="0.2">
      <c r="A161" s="48"/>
      <c r="B161" s="49"/>
      <c r="C161" s="49" t="s">
        <v>525</v>
      </c>
      <c r="D161" s="31"/>
      <c r="E161" s="10"/>
      <c r="F161" s="32">
        <f>Source!AO84</f>
        <v>58.59</v>
      </c>
      <c r="G161" s="33" t="str">
        <f>Source!DG84</f>
        <v>)*1,35</v>
      </c>
      <c r="H161" s="32">
        <f>ROUND(Source!AF84*Source!I84, 2)</f>
        <v>158.19999999999999</v>
      </c>
      <c r="I161" s="33"/>
      <c r="J161" s="33">
        <f>IF(Source!BA84&lt;&gt; 0, Source!BA84, 1)</f>
        <v>30.05</v>
      </c>
      <c r="K161" s="32">
        <f>Source!S84</f>
        <v>4753.91</v>
      </c>
      <c r="L161" s="34"/>
      <c r="R161">
        <f>H161</f>
        <v>158.19999999999999</v>
      </c>
    </row>
    <row r="162" spans="1:26" ht="14.25" x14ac:dyDescent="0.2">
      <c r="A162" s="48"/>
      <c r="B162" s="49"/>
      <c r="C162" s="49" t="s">
        <v>151</v>
      </c>
      <c r="D162" s="31"/>
      <c r="E162" s="10"/>
      <c r="F162" s="32">
        <f>Source!AM84</f>
        <v>704.3</v>
      </c>
      <c r="G162" s="33" t="str">
        <f>Source!DE84</f>
        <v>)*1,35</v>
      </c>
      <c r="H162" s="32">
        <f>ROUND(Source!AD84*Source!I84, 2)</f>
        <v>1901.62</v>
      </c>
      <c r="I162" s="33"/>
      <c r="J162" s="33">
        <f>IF(Source!BB84&lt;&gt; 0, Source!BB84, 1)</f>
        <v>6.73</v>
      </c>
      <c r="K162" s="32">
        <f>Source!Q84</f>
        <v>12797.9</v>
      </c>
      <c r="L162" s="34"/>
    </row>
    <row r="163" spans="1:26" ht="14.25" x14ac:dyDescent="0.2">
      <c r="A163" s="48"/>
      <c r="B163" s="49"/>
      <c r="C163" s="49" t="s">
        <v>533</v>
      </c>
      <c r="D163" s="31"/>
      <c r="E163" s="10"/>
      <c r="F163" s="32">
        <f>Source!AN84</f>
        <v>66.56</v>
      </c>
      <c r="G163" s="33" t="str">
        <f>Source!DF84</f>
        <v>)*1,35</v>
      </c>
      <c r="H163" s="47">
        <f>ROUND(Source!AE84*Source!I84, 2)</f>
        <v>179.72</v>
      </c>
      <c r="I163" s="33"/>
      <c r="J163" s="33">
        <f>IF(Source!BS84&lt;&gt; 0, Source!BS84, 1)</f>
        <v>30.05</v>
      </c>
      <c r="K163" s="47">
        <f>Source!R84</f>
        <v>5400.59</v>
      </c>
      <c r="L163" s="34"/>
      <c r="R163">
        <f>H163</f>
        <v>179.72</v>
      </c>
    </row>
    <row r="164" spans="1:26" ht="14.25" x14ac:dyDescent="0.2">
      <c r="A164" s="48"/>
      <c r="B164" s="49"/>
      <c r="C164" s="49" t="s">
        <v>536</v>
      </c>
      <c r="D164" s="31"/>
      <c r="E164" s="10"/>
      <c r="F164" s="32">
        <f>Source!AL84</f>
        <v>3.33</v>
      </c>
      <c r="G164" s="33" t="str">
        <f>Source!DD84</f>
        <v/>
      </c>
      <c r="H164" s="32">
        <f>ROUND(Source!AC84*Source!I84, 2)</f>
        <v>6.66</v>
      </c>
      <c r="I164" s="33"/>
      <c r="J164" s="33">
        <f>IF(Source!BC84&lt;&gt; 0, Source!BC84, 1)</f>
        <v>19.78</v>
      </c>
      <c r="K164" s="32">
        <f>Source!P84</f>
        <v>131.72999999999999</v>
      </c>
      <c r="L164" s="34"/>
    </row>
    <row r="165" spans="1:26" ht="14.25" x14ac:dyDescent="0.2">
      <c r="A165" s="48"/>
      <c r="B165" s="49"/>
      <c r="C165" s="49" t="s">
        <v>526</v>
      </c>
      <c r="D165" s="31" t="s">
        <v>527</v>
      </c>
      <c r="E165" s="10">
        <f>Source!BZ84</f>
        <v>95</v>
      </c>
      <c r="F165" s="53"/>
      <c r="G165" s="33"/>
      <c r="H165" s="32">
        <f>SUM(S160:S167)</f>
        <v>321.02</v>
      </c>
      <c r="I165" s="35"/>
      <c r="J165" s="30">
        <f>Source!AT84</f>
        <v>95</v>
      </c>
      <c r="K165" s="32">
        <f>SUM(T160:T167)</f>
        <v>9646.7800000000007</v>
      </c>
      <c r="L165" s="34"/>
    </row>
    <row r="166" spans="1:26" ht="14.25" x14ac:dyDescent="0.2">
      <c r="A166" s="48"/>
      <c r="B166" s="49"/>
      <c r="C166" s="49" t="s">
        <v>528</v>
      </c>
      <c r="D166" s="31" t="s">
        <v>527</v>
      </c>
      <c r="E166" s="10">
        <f>Source!CA84</f>
        <v>65</v>
      </c>
      <c r="F166" s="53"/>
      <c r="G166" s="33"/>
      <c r="H166" s="32">
        <f>SUM(U160:U167)</f>
        <v>219.65</v>
      </c>
      <c r="I166" s="35"/>
      <c r="J166" s="30">
        <f>Source!AU84</f>
        <v>65</v>
      </c>
      <c r="K166" s="32">
        <f>SUM(V160:V167)</f>
        <v>6600.43</v>
      </c>
      <c r="L166" s="34"/>
    </row>
    <row r="167" spans="1:26" ht="14.25" x14ac:dyDescent="0.2">
      <c r="A167" s="50"/>
      <c r="B167" s="51"/>
      <c r="C167" s="51" t="s">
        <v>529</v>
      </c>
      <c r="D167" s="36" t="s">
        <v>530</v>
      </c>
      <c r="E167" s="37">
        <f>Source!AQ84</f>
        <v>6.09</v>
      </c>
      <c r="F167" s="38"/>
      <c r="G167" s="39" t="str">
        <f>Source!DI84</f>
        <v>)*1,35</v>
      </c>
      <c r="H167" s="38"/>
      <c r="I167" s="39"/>
      <c r="J167" s="39"/>
      <c r="K167" s="38"/>
      <c r="L167" s="40">
        <f>Source!U84</f>
        <v>16.443000000000001</v>
      </c>
    </row>
    <row r="168" spans="1:26" ht="15" x14ac:dyDescent="0.25">
      <c r="G168" s="81">
        <f>H161+H162+H164+H165+H166</f>
        <v>2607.1499999999996</v>
      </c>
      <c r="H168" s="81"/>
      <c r="J168" s="81">
        <f>K161+K162+K164+K165+K166</f>
        <v>33930.75</v>
      </c>
      <c r="K168" s="81"/>
      <c r="L168" s="41">
        <f>Source!U84</f>
        <v>16.443000000000001</v>
      </c>
      <c r="O168" s="26">
        <f>G168</f>
        <v>2607.1499999999996</v>
      </c>
      <c r="P168" s="26">
        <f>J168</f>
        <v>33930.75</v>
      </c>
      <c r="Q168" s="26">
        <f>L168</f>
        <v>16.443000000000001</v>
      </c>
      <c r="W168">
        <f>IF(Source!BI84&lt;=1,H161+H162+H164+H165+H166, 0)</f>
        <v>0</v>
      </c>
      <c r="X168">
        <f>IF(Source!BI84=2,H161+H162+H164+H165+H166, 0)</f>
        <v>2607.1499999999996</v>
      </c>
      <c r="Y168">
        <f>IF(Source!BI84=3,H161+H162+H164+H165+H166, 0)</f>
        <v>0</v>
      </c>
      <c r="Z168">
        <f>IF(Source!BI84=4,H161+H162+H164+H165+H166, 0)</f>
        <v>0</v>
      </c>
    </row>
    <row r="169" spans="1:26" ht="66.75" x14ac:dyDescent="0.2">
      <c r="A169" s="48" t="str">
        <f>Source!E85</f>
        <v>17</v>
      </c>
      <c r="B169" s="49" t="s">
        <v>554</v>
      </c>
      <c r="C169" s="49" t="str">
        <f>Source!G85</f>
        <v>Присоединение к зажимам жил проводов или кабелей сечением до 240 мм2</v>
      </c>
      <c r="D169" s="31" t="str">
        <f>Source!H85</f>
        <v>100 шт.</v>
      </c>
      <c r="E169" s="10">
        <f>Source!I85</f>
        <v>0.06</v>
      </c>
      <c r="F169" s="32">
        <f>Source!AL85+Source!AM85+Source!AO85</f>
        <v>298.3</v>
      </c>
      <c r="G169" s="33"/>
      <c r="H169" s="32"/>
      <c r="I169" s="33" t="str">
        <f>Source!BO85</f>
        <v>м08-02-144-7</v>
      </c>
      <c r="J169" s="33"/>
      <c r="K169" s="32"/>
      <c r="L169" s="34"/>
      <c r="S169">
        <f>ROUND((Source!FX85/100)*((ROUND(Source!AF85*Source!I85, 2)+ROUND(Source!AE85*Source!I85, 2))), 2)</f>
        <v>22.51</v>
      </c>
      <c r="T169">
        <f>Source!X85</f>
        <v>676.25</v>
      </c>
      <c r="U169">
        <f>ROUND((Source!FY85/100)*((ROUND(Source!AF85*Source!I85, 2)+ROUND(Source!AE85*Source!I85, 2))), 2)</f>
        <v>15.4</v>
      </c>
      <c r="V169">
        <f>Source!Y85</f>
        <v>462.7</v>
      </c>
    </row>
    <row r="170" spans="1:26" ht="14.25" x14ac:dyDescent="0.2">
      <c r="A170" s="48"/>
      <c r="B170" s="49"/>
      <c r="C170" s="49" t="s">
        <v>525</v>
      </c>
      <c r="D170" s="31"/>
      <c r="E170" s="10"/>
      <c r="F170" s="32">
        <f>Source!AO85</f>
        <v>292.45</v>
      </c>
      <c r="G170" s="33" t="str">
        <f>Source!DG85</f>
        <v>)*1,35</v>
      </c>
      <c r="H170" s="32">
        <f>ROUND(Source!AF85*Source!I85, 2)</f>
        <v>23.69</v>
      </c>
      <c r="I170" s="33"/>
      <c r="J170" s="33">
        <f>IF(Source!BA85&lt;&gt; 0, Source!BA85, 1)</f>
        <v>30.05</v>
      </c>
      <c r="K170" s="32">
        <f>Source!S85</f>
        <v>711.84</v>
      </c>
      <c r="L170" s="34"/>
      <c r="R170">
        <f>H170</f>
        <v>23.69</v>
      </c>
    </row>
    <row r="171" spans="1:26" ht="14.25" x14ac:dyDescent="0.2">
      <c r="A171" s="48"/>
      <c r="B171" s="49"/>
      <c r="C171" s="49" t="s">
        <v>536</v>
      </c>
      <c r="D171" s="31"/>
      <c r="E171" s="10"/>
      <c r="F171" s="32">
        <f>Source!AL85</f>
        <v>5.85</v>
      </c>
      <c r="G171" s="33" t="str">
        <f>Source!DD85</f>
        <v/>
      </c>
      <c r="H171" s="32">
        <f>ROUND(Source!AC85*Source!I85, 2)</f>
        <v>0.35</v>
      </c>
      <c r="I171" s="33"/>
      <c r="J171" s="33">
        <f>IF(Source!BC85&lt;&gt; 0, Source!BC85, 1)</f>
        <v>30.04</v>
      </c>
      <c r="K171" s="32">
        <f>Source!P85</f>
        <v>10.54</v>
      </c>
      <c r="L171" s="34"/>
    </row>
    <row r="172" spans="1:26" ht="14.25" x14ac:dyDescent="0.2">
      <c r="A172" s="48"/>
      <c r="B172" s="49"/>
      <c r="C172" s="49" t="s">
        <v>526</v>
      </c>
      <c r="D172" s="31" t="s">
        <v>527</v>
      </c>
      <c r="E172" s="10">
        <f>Source!BZ85</f>
        <v>95</v>
      </c>
      <c r="F172" s="53"/>
      <c r="G172" s="33"/>
      <c r="H172" s="32">
        <f>SUM(S169:S174)</f>
        <v>22.51</v>
      </c>
      <c r="I172" s="35"/>
      <c r="J172" s="30">
        <f>Source!AT85</f>
        <v>95</v>
      </c>
      <c r="K172" s="32">
        <f>SUM(T169:T174)</f>
        <v>676.25</v>
      </c>
      <c r="L172" s="34"/>
    </row>
    <row r="173" spans="1:26" ht="14.25" x14ac:dyDescent="0.2">
      <c r="A173" s="48"/>
      <c r="B173" s="49"/>
      <c r="C173" s="49" t="s">
        <v>528</v>
      </c>
      <c r="D173" s="31" t="s">
        <v>527</v>
      </c>
      <c r="E173" s="10">
        <f>Source!CA85</f>
        <v>65</v>
      </c>
      <c r="F173" s="53"/>
      <c r="G173" s="33"/>
      <c r="H173" s="32">
        <f>SUM(U169:U174)</f>
        <v>15.4</v>
      </c>
      <c r="I173" s="35"/>
      <c r="J173" s="30">
        <f>Source!AU85</f>
        <v>65</v>
      </c>
      <c r="K173" s="32">
        <f>SUM(V169:V174)</f>
        <v>462.7</v>
      </c>
      <c r="L173" s="34"/>
    </row>
    <row r="174" spans="1:26" ht="14.25" x14ac:dyDescent="0.2">
      <c r="A174" s="50"/>
      <c r="B174" s="51"/>
      <c r="C174" s="51" t="s">
        <v>529</v>
      </c>
      <c r="D174" s="36" t="s">
        <v>530</v>
      </c>
      <c r="E174" s="37">
        <f>Source!AQ85</f>
        <v>30.4</v>
      </c>
      <c r="F174" s="38"/>
      <c r="G174" s="39" t="str">
        <f>Source!DI85</f>
        <v>)*1,35</v>
      </c>
      <c r="H174" s="38"/>
      <c r="I174" s="39"/>
      <c r="J174" s="39"/>
      <c r="K174" s="38"/>
      <c r="L174" s="40">
        <f>Source!U85</f>
        <v>2.4623999999999997</v>
      </c>
    </row>
    <row r="175" spans="1:26" ht="15" x14ac:dyDescent="0.25">
      <c r="G175" s="81">
        <f>H170+H171+H172+H173</f>
        <v>61.95</v>
      </c>
      <c r="H175" s="81"/>
      <c r="J175" s="81">
        <f>K170+K171+K172+K173</f>
        <v>1861.3300000000002</v>
      </c>
      <c r="K175" s="81"/>
      <c r="L175" s="41">
        <f>Source!U85</f>
        <v>2.4623999999999997</v>
      </c>
      <c r="O175" s="26">
        <f>G175</f>
        <v>61.95</v>
      </c>
      <c r="P175" s="26">
        <f>J175</f>
        <v>1861.3300000000002</v>
      </c>
      <c r="Q175" s="26">
        <f>L175</f>
        <v>2.4623999999999997</v>
      </c>
      <c r="W175">
        <f>IF(Source!BI85&lt;=1,H170+H171+H172+H173, 0)</f>
        <v>0</v>
      </c>
      <c r="X175">
        <f>IF(Source!BI85=2,H170+H171+H172+H173, 0)</f>
        <v>61.95</v>
      </c>
      <c r="Y175">
        <f>IF(Source!BI85=3,H170+H171+H172+H173, 0)</f>
        <v>0</v>
      </c>
      <c r="Z175">
        <f>IF(Source!BI85=4,H170+H171+H172+H173, 0)</f>
        <v>0</v>
      </c>
    </row>
    <row r="176" spans="1:26" ht="66.75" x14ac:dyDescent="0.2">
      <c r="A176" s="48" t="str">
        <f>Source!E86</f>
        <v>18</v>
      </c>
      <c r="B176" s="49" t="s">
        <v>555</v>
      </c>
      <c r="C176" s="49" t="str">
        <f>Source!G86</f>
        <v>Проводник заземляющий из медного изолированного провода сечением 25 мм2 открыто по строительным основаниям</v>
      </c>
      <c r="D176" s="31" t="str">
        <f>Source!H86</f>
        <v>100 м</v>
      </c>
      <c r="E176" s="10">
        <f>Source!I86</f>
        <v>0.02</v>
      </c>
      <c r="F176" s="32">
        <f>Source!AL86+Source!AM86+Source!AO86</f>
        <v>519.97</v>
      </c>
      <c r="G176" s="33"/>
      <c r="H176" s="32"/>
      <c r="I176" s="33" t="str">
        <f>Source!BO86</f>
        <v>м08-02-472-10</v>
      </c>
      <c r="J176" s="33"/>
      <c r="K176" s="32"/>
      <c r="L176" s="34"/>
      <c r="S176">
        <f>ROUND((Source!FX86/100)*((ROUND(Source!AF86*Source!I86, 2)+ROUND(Source!AE86*Source!I86, 2))), 2)</f>
        <v>7.76</v>
      </c>
      <c r="T176">
        <f>Source!X86</f>
        <v>233.32</v>
      </c>
      <c r="U176">
        <f>ROUND((Source!FY86/100)*((ROUND(Source!AF86*Source!I86, 2)+ROUND(Source!AE86*Source!I86, 2))), 2)</f>
        <v>5.31</v>
      </c>
      <c r="V176">
        <f>Source!Y86</f>
        <v>159.63999999999999</v>
      </c>
    </row>
    <row r="177" spans="1:26" ht="14.25" x14ac:dyDescent="0.2">
      <c r="A177" s="48"/>
      <c r="B177" s="49"/>
      <c r="C177" s="49" t="s">
        <v>525</v>
      </c>
      <c r="D177" s="31"/>
      <c r="E177" s="10"/>
      <c r="F177" s="32">
        <f>Source!AO86</f>
        <v>302.3</v>
      </c>
      <c r="G177" s="33" t="str">
        <f>Source!DG86</f>
        <v>)*1,35</v>
      </c>
      <c r="H177" s="32">
        <f>ROUND(Source!AF86*Source!I86, 2)</f>
        <v>8.16</v>
      </c>
      <c r="I177" s="33"/>
      <c r="J177" s="33">
        <f>IF(Source!BA86&lt;&gt; 0, Source!BA86, 1)</f>
        <v>30.05</v>
      </c>
      <c r="K177" s="32">
        <f>Source!S86</f>
        <v>245.27</v>
      </c>
      <c r="L177" s="34"/>
      <c r="R177">
        <f>H177</f>
        <v>8.16</v>
      </c>
    </row>
    <row r="178" spans="1:26" ht="14.25" x14ac:dyDescent="0.2">
      <c r="A178" s="48"/>
      <c r="B178" s="49"/>
      <c r="C178" s="49" t="s">
        <v>151</v>
      </c>
      <c r="D178" s="31"/>
      <c r="E178" s="10"/>
      <c r="F178" s="32">
        <f>Source!AM86</f>
        <v>31.61</v>
      </c>
      <c r="G178" s="33" t="str">
        <f>Source!DE86</f>
        <v>)*1,35</v>
      </c>
      <c r="H178" s="32">
        <f>ROUND(Source!AD86*Source!I86, 2)</f>
        <v>0.85</v>
      </c>
      <c r="I178" s="33"/>
      <c r="J178" s="33">
        <f>IF(Source!BB86&lt;&gt; 0, Source!BB86, 1)</f>
        <v>4.78</v>
      </c>
      <c r="K178" s="32">
        <f>Source!Q86</f>
        <v>4.08</v>
      </c>
      <c r="L178" s="34"/>
    </row>
    <row r="179" spans="1:26" ht="14.25" x14ac:dyDescent="0.2">
      <c r="A179" s="48"/>
      <c r="B179" s="49"/>
      <c r="C179" s="49" t="s">
        <v>533</v>
      </c>
      <c r="D179" s="31"/>
      <c r="E179" s="10"/>
      <c r="F179" s="32">
        <f>Source!AN86</f>
        <v>0.41</v>
      </c>
      <c r="G179" s="33" t="str">
        <f>Source!DF86</f>
        <v>)*1,35</v>
      </c>
      <c r="H179" s="47">
        <f>ROUND(Source!AE86*Source!I86, 2)</f>
        <v>0.01</v>
      </c>
      <c r="I179" s="33"/>
      <c r="J179" s="33">
        <f>IF(Source!BS86&lt;&gt; 0, Source!BS86, 1)</f>
        <v>30.05</v>
      </c>
      <c r="K179" s="47">
        <f>Source!R86</f>
        <v>0.33</v>
      </c>
      <c r="L179" s="34"/>
      <c r="R179">
        <f>H179</f>
        <v>0.01</v>
      </c>
    </row>
    <row r="180" spans="1:26" ht="14.25" x14ac:dyDescent="0.2">
      <c r="A180" s="48"/>
      <c r="B180" s="49"/>
      <c r="C180" s="49" t="s">
        <v>536</v>
      </c>
      <c r="D180" s="31"/>
      <c r="E180" s="10"/>
      <c r="F180" s="32">
        <f>Source!AL86</f>
        <v>186.06</v>
      </c>
      <c r="G180" s="33" t="str">
        <f>Source!DD86</f>
        <v/>
      </c>
      <c r="H180" s="32">
        <f>ROUND(Source!AC86*Source!I86, 2)</f>
        <v>3.72</v>
      </c>
      <c r="I180" s="33"/>
      <c r="J180" s="33">
        <f>IF(Source!BC86&lt;&gt; 0, Source!BC86, 1)</f>
        <v>1.82</v>
      </c>
      <c r="K180" s="32">
        <f>Source!P86</f>
        <v>6.77</v>
      </c>
      <c r="L180" s="34"/>
    </row>
    <row r="181" spans="1:26" ht="14.25" x14ac:dyDescent="0.2">
      <c r="A181" s="48"/>
      <c r="B181" s="49"/>
      <c r="C181" s="49" t="s">
        <v>526</v>
      </c>
      <c r="D181" s="31" t="s">
        <v>527</v>
      </c>
      <c r="E181" s="10">
        <f>Source!BZ86</f>
        <v>95</v>
      </c>
      <c r="F181" s="53"/>
      <c r="G181" s="33"/>
      <c r="H181" s="32">
        <f>SUM(S176:S184)</f>
        <v>7.76</v>
      </c>
      <c r="I181" s="35"/>
      <c r="J181" s="30">
        <f>Source!AT86</f>
        <v>95</v>
      </c>
      <c r="K181" s="32">
        <f>SUM(T176:T184)</f>
        <v>233.32</v>
      </c>
      <c r="L181" s="34"/>
    </row>
    <row r="182" spans="1:26" ht="14.25" x14ac:dyDescent="0.2">
      <c r="A182" s="48"/>
      <c r="B182" s="49"/>
      <c r="C182" s="49" t="s">
        <v>528</v>
      </c>
      <c r="D182" s="31" t="s">
        <v>527</v>
      </c>
      <c r="E182" s="10">
        <f>Source!CA86</f>
        <v>65</v>
      </c>
      <c r="F182" s="53"/>
      <c r="G182" s="33"/>
      <c r="H182" s="32">
        <f>SUM(U176:U184)</f>
        <v>5.31</v>
      </c>
      <c r="I182" s="35"/>
      <c r="J182" s="30">
        <f>Source!AU86</f>
        <v>65</v>
      </c>
      <c r="K182" s="32">
        <f>SUM(V176:V184)</f>
        <v>159.63999999999999</v>
      </c>
      <c r="L182" s="34"/>
    </row>
    <row r="183" spans="1:26" ht="14.25" x14ac:dyDescent="0.2">
      <c r="A183" s="48"/>
      <c r="B183" s="49"/>
      <c r="C183" s="49" t="s">
        <v>529</v>
      </c>
      <c r="D183" s="31" t="s">
        <v>530</v>
      </c>
      <c r="E183" s="10">
        <f>Source!AQ86</f>
        <v>32.159999999999997</v>
      </c>
      <c r="F183" s="32"/>
      <c r="G183" s="33" t="str">
        <f>Source!DI86</f>
        <v>)*1,35</v>
      </c>
      <c r="H183" s="32"/>
      <c r="I183" s="33"/>
      <c r="J183" s="33"/>
      <c r="K183" s="32"/>
      <c r="L183" s="44">
        <f>Source!U86</f>
        <v>0.86831999999999998</v>
      </c>
    </row>
    <row r="184" spans="1:26" ht="85.5" x14ac:dyDescent="0.2">
      <c r="A184" s="50" t="str">
        <f>Source!E87</f>
        <v>18,1</v>
      </c>
      <c r="B184" s="51" t="s">
        <v>235</v>
      </c>
      <c r="C184" s="51" t="str">
        <f>Source!G87</f>
        <v>Провод неизолированный гибкий МГ 25 мм2</v>
      </c>
      <c r="D184" s="36" t="str">
        <f>Source!H87</f>
        <v>1000 м</v>
      </c>
      <c r="E184" s="37">
        <f>Source!I87</f>
        <v>2E-3</v>
      </c>
      <c r="F184" s="38">
        <f>Source!AL87+Source!AM87+Source!AO87</f>
        <v>170083.12</v>
      </c>
      <c r="G184" s="46" t="s">
        <v>6</v>
      </c>
      <c r="H184" s="38">
        <f>ROUND(Source!AC87*Source!I87, 2)+ROUND(Source!AD87*Source!I87, 2)+ROUND(Source!AF87*Source!I87, 2)</f>
        <v>340.17</v>
      </c>
      <c r="I184" s="39"/>
      <c r="J184" s="39">
        <f>IF(Source!BC87&lt;&gt; 0, Source!BC87, 1)</f>
        <v>1</v>
      </c>
      <c r="K184" s="38">
        <f>Source!O87</f>
        <v>340.17</v>
      </c>
      <c r="L184" s="43"/>
      <c r="S184">
        <f>ROUND((Source!FX87/100)*((ROUND(Source!AF87*Source!I87, 2)+ROUND(Source!AE87*Source!I87, 2))), 2)</f>
        <v>0</v>
      </c>
      <c r="T184">
        <f>Source!X87</f>
        <v>0</v>
      </c>
      <c r="U184">
        <f>ROUND((Source!FY87/100)*((ROUND(Source!AF87*Source!I87, 2)+ROUND(Source!AE87*Source!I87, 2))), 2)</f>
        <v>0</v>
      </c>
      <c r="V184">
        <f>Source!Y87</f>
        <v>0</v>
      </c>
      <c r="W184">
        <f>IF(Source!BI87&lt;=1,H184, 0)</f>
        <v>0</v>
      </c>
      <c r="X184">
        <f>IF(Source!BI87=2,H184, 0)</f>
        <v>340.17</v>
      </c>
      <c r="Y184">
        <f>IF(Source!BI87=3,H184, 0)</f>
        <v>0</v>
      </c>
      <c r="Z184">
        <f>IF(Source!BI87=4,H184, 0)</f>
        <v>0</v>
      </c>
    </row>
    <row r="185" spans="1:26" ht="15" x14ac:dyDescent="0.25">
      <c r="G185" s="81">
        <f>H177+H178+H180+H181+H182+SUM(H184:H184)</f>
        <v>365.97</v>
      </c>
      <c r="H185" s="81"/>
      <c r="J185" s="81">
        <f>K177+K178+K180+K181+K182+SUM(K184:K184)</f>
        <v>989.25</v>
      </c>
      <c r="K185" s="81"/>
      <c r="L185" s="41">
        <f>Source!U86</f>
        <v>0.86831999999999998</v>
      </c>
      <c r="O185" s="26">
        <f>G185</f>
        <v>365.97</v>
      </c>
      <c r="P185" s="26">
        <f>J185</f>
        <v>989.25</v>
      </c>
      <c r="Q185" s="26">
        <f>L185</f>
        <v>0.86831999999999998</v>
      </c>
      <c r="W185">
        <f>IF(Source!BI86&lt;=1,H177+H178+H180+H181+H182, 0)</f>
        <v>0</v>
      </c>
      <c r="X185">
        <f>IF(Source!BI86=2,H177+H178+H180+H181+H182, 0)</f>
        <v>25.8</v>
      </c>
      <c r="Y185">
        <f>IF(Source!BI86=3,H177+H178+H180+H181+H182, 0)</f>
        <v>0</v>
      </c>
      <c r="Z185">
        <f>IF(Source!BI86=4,H177+H178+H180+H181+H182, 0)</f>
        <v>0</v>
      </c>
    </row>
    <row r="186" spans="1:26" ht="105" x14ac:dyDescent="0.2">
      <c r="A186" s="48" t="str">
        <f>Source!E88</f>
        <v>19</v>
      </c>
      <c r="B186" s="49" t="s">
        <v>556</v>
      </c>
      <c r="C186" s="49" t="str">
        <f>Source!G88</f>
        <v>Муфта соединительная эпоксидная для 3-4-жильного кабеля напряжением до 10 кВ, сечение жил до 120 мм2</v>
      </c>
      <c r="D186" s="31" t="str">
        <f>Source!H88</f>
        <v>1  ШТ.</v>
      </c>
      <c r="E186" s="10">
        <f>Source!I88</f>
        <v>3</v>
      </c>
      <c r="F186" s="32">
        <f>Source!AL88+Source!AM88+Source!AO88</f>
        <v>125.41</v>
      </c>
      <c r="G186" s="33"/>
      <c r="H186" s="32"/>
      <c r="I186" s="33" t="str">
        <f>Source!BO88</f>
        <v>м08-02-167-8</v>
      </c>
      <c r="J186" s="33"/>
      <c r="K186" s="32"/>
      <c r="L186" s="34"/>
      <c r="S186">
        <f>ROUND((Source!FX88/100)*((ROUND(Source!AF88*Source!I88, 2)+ROUND(Source!AE88*Source!I88, 2))), 2)</f>
        <v>297.91000000000003</v>
      </c>
      <c r="T186">
        <f>Source!X88</f>
        <v>8952.2099999999991</v>
      </c>
      <c r="U186">
        <f>ROUND((Source!FY88/100)*((ROUND(Source!AF88*Source!I88, 2)+ROUND(Source!AE88*Source!I88, 2))), 2)</f>
        <v>203.83</v>
      </c>
      <c r="V186">
        <f>Source!Y88</f>
        <v>6125.2</v>
      </c>
    </row>
    <row r="187" spans="1:26" ht="14.25" x14ac:dyDescent="0.2">
      <c r="A187" s="48"/>
      <c r="B187" s="49"/>
      <c r="C187" s="49" t="s">
        <v>525</v>
      </c>
      <c r="D187" s="31"/>
      <c r="E187" s="10"/>
      <c r="F187" s="32">
        <f>Source!AO88</f>
        <v>75.61</v>
      </c>
      <c r="G187" s="33" t="str">
        <f>Source!DG88</f>
        <v>)*1,2)*1,15</v>
      </c>
      <c r="H187" s="32">
        <f>ROUND(Source!AF88*Source!I88, 2)</f>
        <v>313.02</v>
      </c>
      <c r="I187" s="33"/>
      <c r="J187" s="33">
        <f>IF(Source!BA88&lt;&gt; 0, Source!BA88, 1)</f>
        <v>30.05</v>
      </c>
      <c r="K187" s="32">
        <f>Source!S88</f>
        <v>9406.25</v>
      </c>
      <c r="L187" s="34"/>
      <c r="R187">
        <f>H187</f>
        <v>313.02</v>
      </c>
    </row>
    <row r="188" spans="1:26" ht="14.25" x14ac:dyDescent="0.2">
      <c r="A188" s="48"/>
      <c r="B188" s="49"/>
      <c r="C188" s="49" t="s">
        <v>151</v>
      </c>
      <c r="D188" s="31"/>
      <c r="E188" s="10"/>
      <c r="F188" s="32">
        <f>Source!AM88</f>
        <v>2.2200000000000002</v>
      </c>
      <c r="G188" s="33" t="str">
        <f>Source!DE88</f>
        <v>)*1,2)*1,15</v>
      </c>
      <c r="H188" s="32">
        <f>ROUND(Source!AD88*Source!I88, 2)</f>
        <v>9.18</v>
      </c>
      <c r="I188" s="33"/>
      <c r="J188" s="33">
        <f>IF(Source!BB88&lt;&gt; 0, Source!BB88, 1)</f>
        <v>8.77</v>
      </c>
      <c r="K188" s="32">
        <f>Source!Q88</f>
        <v>80.510000000000005</v>
      </c>
      <c r="L188" s="34"/>
    </row>
    <row r="189" spans="1:26" ht="14.25" x14ac:dyDescent="0.2">
      <c r="A189" s="48"/>
      <c r="B189" s="49"/>
      <c r="C189" s="49" t="s">
        <v>533</v>
      </c>
      <c r="D189" s="31"/>
      <c r="E189" s="10"/>
      <c r="F189" s="32">
        <f>Source!AN88</f>
        <v>0.14000000000000001</v>
      </c>
      <c r="G189" s="33" t="str">
        <f>Source!DF88</f>
        <v>)*1,2)*1,15</v>
      </c>
      <c r="H189" s="47">
        <f>ROUND(Source!AE88*Source!I88, 2)</f>
        <v>0.56999999999999995</v>
      </c>
      <c r="I189" s="33"/>
      <c r="J189" s="33">
        <f>IF(Source!BS88&lt;&gt; 0, Source!BS88, 1)</f>
        <v>30.05</v>
      </c>
      <c r="K189" s="47">
        <f>Source!R88</f>
        <v>17.13</v>
      </c>
      <c r="L189" s="34"/>
      <c r="R189">
        <f>H189</f>
        <v>0.56999999999999995</v>
      </c>
    </row>
    <row r="190" spans="1:26" ht="14.25" x14ac:dyDescent="0.2">
      <c r="A190" s="48"/>
      <c r="B190" s="49"/>
      <c r="C190" s="49" t="s">
        <v>536</v>
      </c>
      <c r="D190" s="31"/>
      <c r="E190" s="10"/>
      <c r="F190" s="32">
        <f>Source!AL88</f>
        <v>47.58</v>
      </c>
      <c r="G190" s="33" t="str">
        <f>Source!DD88</f>
        <v/>
      </c>
      <c r="H190" s="32">
        <f>ROUND(Source!AC88*Source!I88, 2)</f>
        <v>142.74</v>
      </c>
      <c r="I190" s="33"/>
      <c r="J190" s="33">
        <f>IF(Source!BC88&lt;&gt; 0, Source!BC88, 1)</f>
        <v>6.53</v>
      </c>
      <c r="K190" s="32">
        <f>Source!P88</f>
        <v>932.09</v>
      </c>
      <c r="L190" s="34"/>
    </row>
    <row r="191" spans="1:26" ht="14.25" x14ac:dyDescent="0.2">
      <c r="A191" s="48"/>
      <c r="B191" s="49"/>
      <c r="C191" s="49" t="s">
        <v>526</v>
      </c>
      <c r="D191" s="31" t="s">
        <v>527</v>
      </c>
      <c r="E191" s="10">
        <f>Source!BZ88</f>
        <v>95</v>
      </c>
      <c r="F191" s="53"/>
      <c r="G191" s="33"/>
      <c r="H191" s="32">
        <f>SUM(S186:S194)</f>
        <v>297.91000000000003</v>
      </c>
      <c r="I191" s="35"/>
      <c r="J191" s="30">
        <f>Source!AT88</f>
        <v>95</v>
      </c>
      <c r="K191" s="32">
        <f>SUM(T186:T194)</f>
        <v>8952.2099999999991</v>
      </c>
      <c r="L191" s="34"/>
    </row>
    <row r="192" spans="1:26" ht="14.25" x14ac:dyDescent="0.2">
      <c r="A192" s="48"/>
      <c r="B192" s="49"/>
      <c r="C192" s="49" t="s">
        <v>528</v>
      </c>
      <c r="D192" s="31" t="s">
        <v>527</v>
      </c>
      <c r="E192" s="10">
        <f>Source!CA88</f>
        <v>65</v>
      </c>
      <c r="F192" s="53"/>
      <c r="G192" s="33"/>
      <c r="H192" s="32">
        <f>SUM(U186:U194)</f>
        <v>203.83</v>
      </c>
      <c r="I192" s="35"/>
      <c r="J192" s="30">
        <f>Source!AU88</f>
        <v>65</v>
      </c>
      <c r="K192" s="32">
        <f>SUM(V186:V194)</f>
        <v>6125.2</v>
      </c>
      <c r="L192" s="34"/>
    </row>
    <row r="193" spans="1:26" ht="14.25" x14ac:dyDescent="0.2">
      <c r="A193" s="48"/>
      <c r="B193" s="49"/>
      <c r="C193" s="49" t="s">
        <v>529</v>
      </c>
      <c r="D193" s="31" t="s">
        <v>530</v>
      </c>
      <c r="E193" s="10">
        <f>Source!AQ88</f>
        <v>7.86</v>
      </c>
      <c r="F193" s="32"/>
      <c r="G193" s="33" t="str">
        <f>Source!DI88</f>
        <v>)*1,2)*1,15</v>
      </c>
      <c r="H193" s="32"/>
      <c r="I193" s="33"/>
      <c r="J193" s="33"/>
      <c r="K193" s="32"/>
      <c r="L193" s="44">
        <f>Source!U88</f>
        <v>32.540399999999998</v>
      </c>
    </row>
    <row r="194" spans="1:26" ht="28.5" x14ac:dyDescent="0.2">
      <c r="A194" s="50" t="str">
        <f>Source!E89</f>
        <v>19,1</v>
      </c>
      <c r="B194" s="51" t="s">
        <v>557</v>
      </c>
      <c r="C194" s="51" t="str">
        <f>Source!G89</f>
        <v>Гильза кабельная медная ГМ 120</v>
      </c>
      <c r="D194" s="36" t="str">
        <f>Source!H89</f>
        <v>100 шт.</v>
      </c>
      <c r="E194" s="37">
        <f>Source!I89</f>
        <v>-9.2999999999999999E-2</v>
      </c>
      <c r="F194" s="38">
        <f>Source!AL89+Source!AM89+Source!AO89</f>
        <v>1356</v>
      </c>
      <c r="G194" s="46" t="s">
        <v>6</v>
      </c>
      <c r="H194" s="38">
        <f>ROUND(Source!AC89*Source!I89, 2)+ROUND(Source!AD89*Source!I89, 2)+ROUND(Source!AF89*Source!I89, 2)</f>
        <v>-126.11</v>
      </c>
      <c r="I194" s="39"/>
      <c r="J194" s="39">
        <f>IF(Source!BC89&lt;&gt; 0, Source!BC89, 1)</f>
        <v>4.88</v>
      </c>
      <c r="K194" s="38">
        <f>Source!O89</f>
        <v>-615.41</v>
      </c>
      <c r="L194" s="43"/>
      <c r="S194">
        <f>ROUND((Source!FX89/100)*((ROUND(Source!AF89*Source!I89, 2)+ROUND(Source!AE89*Source!I89, 2))), 2)</f>
        <v>0</v>
      </c>
      <c r="T194">
        <f>Source!X89</f>
        <v>0</v>
      </c>
      <c r="U194">
        <f>ROUND((Source!FY89/100)*((ROUND(Source!AF89*Source!I89, 2)+ROUND(Source!AE89*Source!I89, 2))), 2)</f>
        <v>0</v>
      </c>
      <c r="V194">
        <f>Source!Y89</f>
        <v>0</v>
      </c>
      <c r="W194">
        <f>IF(Source!BI89&lt;=1,H194, 0)</f>
        <v>0</v>
      </c>
      <c r="X194">
        <f>IF(Source!BI89=2,H194, 0)</f>
        <v>-126.11</v>
      </c>
      <c r="Y194">
        <f>IF(Source!BI89=3,H194, 0)</f>
        <v>0</v>
      </c>
      <c r="Z194">
        <f>IF(Source!BI89=4,H194, 0)</f>
        <v>0</v>
      </c>
    </row>
    <row r="195" spans="1:26" ht="15" x14ac:dyDescent="0.25">
      <c r="G195" s="81">
        <f>H187+H188+H190+H191+H192+SUM(H194:H194)</f>
        <v>840.57</v>
      </c>
      <c r="H195" s="81"/>
      <c r="J195" s="81">
        <f>K187+K188+K190+K191+K192+SUM(K194:K194)</f>
        <v>24880.85</v>
      </c>
      <c r="K195" s="81"/>
      <c r="L195" s="41">
        <f>Source!U88</f>
        <v>32.540399999999998</v>
      </c>
      <c r="O195" s="26">
        <f>G195</f>
        <v>840.57</v>
      </c>
      <c r="P195" s="26">
        <f>J195</f>
        <v>24880.85</v>
      </c>
      <c r="Q195" s="26">
        <f>L195</f>
        <v>32.540399999999998</v>
      </c>
      <c r="W195">
        <f>IF(Source!BI88&lt;=1,H187+H188+H190+H191+H192, 0)</f>
        <v>0</v>
      </c>
      <c r="X195">
        <f>IF(Source!BI88=2,H187+H188+H190+H191+H192, 0)</f>
        <v>966.68000000000006</v>
      </c>
      <c r="Y195">
        <f>IF(Source!BI88=3,H187+H188+H190+H191+H192, 0)</f>
        <v>0</v>
      </c>
      <c r="Z195">
        <f>IF(Source!BI88=4,H187+H188+H190+H191+H192, 0)</f>
        <v>0</v>
      </c>
    </row>
    <row r="196" spans="1:26" ht="105" x14ac:dyDescent="0.2">
      <c r="A196" s="48" t="str">
        <f>Source!E90</f>
        <v>20</v>
      </c>
      <c r="B196" s="49" t="s">
        <v>558</v>
      </c>
      <c r="C196" s="49" t="str">
        <f>Source!G90</f>
        <v>Покрытие кабеля плитами из полимернаполненных материалов, расположенными вдоль кабельной линии, размером 48х24</v>
      </c>
      <c r="D196" s="31" t="str">
        <f>Source!H90</f>
        <v>100 м кабельной линии</v>
      </c>
      <c r="E196" s="10">
        <f>Source!I90</f>
        <v>9.58</v>
      </c>
      <c r="F196" s="32">
        <f>Source!AL90+Source!AM90+Source!AO90</f>
        <v>1478.89</v>
      </c>
      <c r="G196" s="33"/>
      <c r="H196" s="32"/>
      <c r="I196" s="33" t="str">
        <f>Source!BO90</f>
        <v>м08-02-143-100</v>
      </c>
      <c r="J196" s="33"/>
      <c r="K196" s="32"/>
      <c r="L196" s="34"/>
      <c r="S196">
        <f>ROUND((Source!FX90/100)*((ROUND(Source!AF90*Source!I90, 2)+ROUND(Source!AE90*Source!I90, 2))), 2)</f>
        <v>370.6</v>
      </c>
      <c r="T196">
        <f>Source!X90</f>
        <v>11136.31</v>
      </c>
      <c r="U196">
        <f>ROUND((Source!FY90/100)*((ROUND(Source!AF90*Source!I90, 2)+ROUND(Source!AE90*Source!I90, 2))), 2)</f>
        <v>253.57</v>
      </c>
      <c r="V196">
        <f>Source!Y90</f>
        <v>7619.58</v>
      </c>
    </row>
    <row r="197" spans="1:26" ht="14.25" x14ac:dyDescent="0.2">
      <c r="A197" s="48"/>
      <c r="B197" s="49"/>
      <c r="C197" s="49" t="s">
        <v>525</v>
      </c>
      <c r="D197" s="31"/>
      <c r="E197" s="10"/>
      <c r="F197" s="32">
        <f>Source!AO90</f>
        <v>29.51</v>
      </c>
      <c r="G197" s="33" t="str">
        <f>Source!DG90</f>
        <v>)*1,2)*1,15</v>
      </c>
      <c r="H197" s="32">
        <f>ROUND(Source!AF90*Source!I90, 2)</f>
        <v>390.1</v>
      </c>
      <c r="I197" s="33"/>
      <c r="J197" s="33">
        <f>IF(Source!BA90&lt;&gt; 0, Source!BA90, 1)</f>
        <v>30.05</v>
      </c>
      <c r="K197" s="32">
        <f>Source!S90</f>
        <v>11722.43</v>
      </c>
      <c r="L197" s="34"/>
      <c r="R197">
        <f>H197</f>
        <v>390.1</v>
      </c>
    </row>
    <row r="198" spans="1:26" ht="14.25" x14ac:dyDescent="0.2">
      <c r="A198" s="48"/>
      <c r="B198" s="49"/>
      <c r="C198" s="49" t="s">
        <v>151</v>
      </c>
      <c r="D198" s="31"/>
      <c r="E198" s="10"/>
      <c r="F198" s="32">
        <f>Source!AM90</f>
        <v>7.38</v>
      </c>
      <c r="G198" s="33" t="str">
        <f>Source!DE90</f>
        <v>)*1,2)*1,15</v>
      </c>
      <c r="H198" s="32">
        <f>ROUND(Source!AD90*Source!I90, 2)</f>
        <v>97.52</v>
      </c>
      <c r="I198" s="33"/>
      <c r="J198" s="33">
        <f>IF(Source!BB90&lt;&gt; 0, Source!BB90, 1)</f>
        <v>9.39</v>
      </c>
      <c r="K198" s="32">
        <f>Source!Q90</f>
        <v>915.75</v>
      </c>
      <c r="L198" s="34"/>
    </row>
    <row r="199" spans="1:26" ht="14.25" x14ac:dyDescent="0.2">
      <c r="A199" s="48"/>
      <c r="B199" s="49"/>
      <c r="C199" s="49" t="s">
        <v>536</v>
      </c>
      <c r="D199" s="31"/>
      <c r="E199" s="10"/>
      <c r="F199" s="32">
        <f>Source!AL90</f>
        <v>1442</v>
      </c>
      <c r="G199" s="33" t="str">
        <f>Source!DD90</f>
        <v/>
      </c>
      <c r="H199" s="32">
        <f>ROUND(Source!AC90*Source!I90, 2)</f>
        <v>13814.36</v>
      </c>
      <c r="I199" s="33"/>
      <c r="J199" s="33">
        <f>IF(Source!BC90&lt;&gt; 0, Source!BC90, 1)</f>
        <v>6.72</v>
      </c>
      <c r="K199" s="32">
        <f>Source!P90</f>
        <v>92832.5</v>
      </c>
      <c r="L199" s="34"/>
    </row>
    <row r="200" spans="1:26" ht="14.25" x14ac:dyDescent="0.2">
      <c r="A200" s="48"/>
      <c r="B200" s="49"/>
      <c r="C200" s="49" t="s">
        <v>526</v>
      </c>
      <c r="D200" s="31" t="s">
        <v>527</v>
      </c>
      <c r="E200" s="10">
        <f>Source!BZ90</f>
        <v>95</v>
      </c>
      <c r="F200" s="53"/>
      <c r="G200" s="33"/>
      <c r="H200" s="32">
        <f>SUM(S196:S202)</f>
        <v>370.6</v>
      </c>
      <c r="I200" s="35"/>
      <c r="J200" s="30">
        <f>Source!AT90</f>
        <v>95</v>
      </c>
      <c r="K200" s="32">
        <f>SUM(T196:T202)</f>
        <v>11136.31</v>
      </c>
      <c r="L200" s="34"/>
    </row>
    <row r="201" spans="1:26" ht="14.25" x14ac:dyDescent="0.2">
      <c r="A201" s="48"/>
      <c r="B201" s="49"/>
      <c r="C201" s="49" t="s">
        <v>528</v>
      </c>
      <c r="D201" s="31" t="s">
        <v>527</v>
      </c>
      <c r="E201" s="10">
        <f>Source!CA90</f>
        <v>65</v>
      </c>
      <c r="F201" s="53"/>
      <c r="G201" s="33"/>
      <c r="H201" s="32">
        <f>SUM(U196:U202)</f>
        <v>253.57</v>
      </c>
      <c r="I201" s="35"/>
      <c r="J201" s="30">
        <f>Source!AU90</f>
        <v>65</v>
      </c>
      <c r="K201" s="32">
        <f>SUM(V196:V202)</f>
        <v>7619.58</v>
      </c>
      <c r="L201" s="34"/>
    </row>
    <row r="202" spans="1:26" ht="14.25" x14ac:dyDescent="0.2">
      <c r="A202" s="50"/>
      <c r="B202" s="51"/>
      <c r="C202" s="51" t="s">
        <v>529</v>
      </c>
      <c r="D202" s="36" t="s">
        <v>530</v>
      </c>
      <c r="E202" s="37">
        <f>Source!AQ90</f>
        <v>3.68</v>
      </c>
      <c r="F202" s="38"/>
      <c r="G202" s="39" t="str">
        <f>Source!DI90</f>
        <v>)*1,2)*1,15</v>
      </c>
      <c r="H202" s="38"/>
      <c r="I202" s="39"/>
      <c r="J202" s="39"/>
      <c r="K202" s="38"/>
      <c r="L202" s="40">
        <f>Source!U90</f>
        <v>48.651071999999999</v>
      </c>
    </row>
    <row r="203" spans="1:26" ht="15" x14ac:dyDescent="0.25">
      <c r="G203" s="81">
        <f>H197+H198+H199+H200+H201</f>
        <v>14926.150000000001</v>
      </c>
      <c r="H203" s="81"/>
      <c r="J203" s="81">
        <f>K197+K198+K199+K200+K201</f>
        <v>124226.56999999999</v>
      </c>
      <c r="K203" s="81"/>
      <c r="L203" s="41">
        <f>Source!U90</f>
        <v>48.651071999999999</v>
      </c>
      <c r="O203" s="26">
        <f>G203</f>
        <v>14926.150000000001</v>
      </c>
      <c r="P203" s="26">
        <f>J203</f>
        <v>124226.56999999999</v>
      </c>
      <c r="Q203" s="26">
        <f>L203</f>
        <v>48.651071999999999</v>
      </c>
      <c r="W203">
        <f>IF(Source!BI90&lt;=1,H197+H198+H199+H200+H201, 0)</f>
        <v>0</v>
      </c>
      <c r="X203">
        <f>IF(Source!BI90=2,H197+H198+H199+H200+H201, 0)</f>
        <v>14926.150000000001</v>
      </c>
      <c r="Y203">
        <f>IF(Source!BI90=3,H197+H198+H199+H200+H201, 0)</f>
        <v>0</v>
      </c>
      <c r="Z203">
        <f>IF(Source!BI90=4,H197+H198+H199+H200+H201, 0)</f>
        <v>0</v>
      </c>
    </row>
    <row r="205" spans="1:26" ht="15" x14ac:dyDescent="0.25">
      <c r="A205" s="84" t="str">
        <f>CONCATENATE("Итого по разделу: ",IF(Source!G92&lt;&gt;"Новый раздел", Source!G92, ""))</f>
        <v>Итого по разделу: Электромонтажные работы</v>
      </c>
      <c r="B205" s="84"/>
      <c r="C205" s="84"/>
      <c r="D205" s="84"/>
      <c r="E205" s="84"/>
      <c r="F205" s="84"/>
      <c r="G205" s="83">
        <f>SUM(O114:O204)</f>
        <v>44990.930000000008</v>
      </c>
      <c r="H205" s="83"/>
      <c r="I205" s="29"/>
      <c r="J205" s="83">
        <f>SUM(P114:P204)</f>
        <v>622350.65</v>
      </c>
      <c r="K205" s="83"/>
      <c r="L205" s="41">
        <f>SUM(Q114:Q204)</f>
        <v>445.50586799999991</v>
      </c>
    </row>
    <row r="209" spans="1:26" ht="16.5" x14ac:dyDescent="0.25">
      <c r="A209" s="82" t="str">
        <f>CONCATENATE("Раздел: ",IF(Source!G121&lt;&gt;"Новый раздел", Source!G121, ""))</f>
        <v>Раздел: Пусконаладочные работы</v>
      </c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</row>
    <row r="210" spans="1:26" ht="66.75" x14ac:dyDescent="0.2">
      <c r="A210" s="48" t="str">
        <f>Source!E125</f>
        <v>21</v>
      </c>
      <c r="B210" s="49" t="s">
        <v>559</v>
      </c>
      <c r="C210" s="49" t="str">
        <f>Source!G125</f>
        <v>Испытание кабеля силового длиной до 500 м напряжением до 10 кВ</v>
      </c>
      <c r="D210" s="31" t="str">
        <f>Source!H125</f>
        <v>1 испытание</v>
      </c>
      <c r="E210" s="10">
        <f>Source!I125</f>
        <v>3</v>
      </c>
      <c r="F210" s="32">
        <f>Source!AL125+Source!AM125+Source!AO125</f>
        <v>55.72</v>
      </c>
      <c r="G210" s="33"/>
      <c r="H210" s="32"/>
      <c r="I210" s="33" t="str">
        <f>Source!BO125</f>
        <v/>
      </c>
      <c r="J210" s="33"/>
      <c r="K210" s="32"/>
      <c r="L210" s="34"/>
      <c r="S210">
        <f>ROUND((Source!FX125/100)*((ROUND(Source!AF125*Source!I125, 2)+ROUND(Source!AE125*Source!I125, 2))), 2)</f>
        <v>141.26</v>
      </c>
      <c r="T210">
        <f>Source!X125</f>
        <v>4244.8100000000004</v>
      </c>
      <c r="U210">
        <f>ROUND((Source!FY125/100)*((ROUND(Source!AF125*Source!I125, 2)+ROUND(Source!AE125*Source!I125, 2))), 2)</f>
        <v>86.93</v>
      </c>
      <c r="V210">
        <f>Source!Y125</f>
        <v>2612.19</v>
      </c>
    </row>
    <row r="211" spans="1:26" ht="14.25" x14ac:dyDescent="0.2">
      <c r="A211" s="48"/>
      <c r="B211" s="49"/>
      <c r="C211" s="49" t="s">
        <v>525</v>
      </c>
      <c r="D211" s="31"/>
      <c r="E211" s="10"/>
      <c r="F211" s="32">
        <f>Source!AO125</f>
        <v>55.72</v>
      </c>
      <c r="G211" s="33" t="str">
        <f>Source!DG125</f>
        <v>)*1,3</v>
      </c>
      <c r="H211" s="32">
        <f>ROUND(Source!AF125*Source!I125, 2)</f>
        <v>217.32</v>
      </c>
      <c r="I211" s="33"/>
      <c r="J211" s="33">
        <f>IF(Source!BA125&lt;&gt; 0, Source!BA125, 1)</f>
        <v>30.05</v>
      </c>
      <c r="K211" s="32">
        <f>Source!S125</f>
        <v>6530.47</v>
      </c>
      <c r="L211" s="34"/>
      <c r="R211">
        <f>H211</f>
        <v>217.32</v>
      </c>
    </row>
    <row r="212" spans="1:26" ht="14.25" x14ac:dyDescent="0.2">
      <c r="A212" s="48"/>
      <c r="B212" s="49"/>
      <c r="C212" s="49" t="s">
        <v>526</v>
      </c>
      <c r="D212" s="31" t="s">
        <v>527</v>
      </c>
      <c r="E212" s="10">
        <f>Source!BZ125</f>
        <v>65</v>
      </c>
      <c r="F212" s="53"/>
      <c r="G212" s="33"/>
      <c r="H212" s="32">
        <f>SUM(S210:S214)</f>
        <v>141.26</v>
      </c>
      <c r="I212" s="35"/>
      <c r="J212" s="30">
        <f>Source!AT125</f>
        <v>65</v>
      </c>
      <c r="K212" s="32">
        <f>SUM(T210:T214)</f>
        <v>4244.8100000000004</v>
      </c>
      <c r="L212" s="34"/>
    </row>
    <row r="213" spans="1:26" ht="14.25" x14ac:dyDescent="0.2">
      <c r="A213" s="48"/>
      <c r="B213" s="49"/>
      <c r="C213" s="49" t="s">
        <v>528</v>
      </c>
      <c r="D213" s="31" t="s">
        <v>527</v>
      </c>
      <c r="E213" s="10">
        <f>Source!CA125</f>
        <v>40</v>
      </c>
      <c r="F213" s="53"/>
      <c r="G213" s="33"/>
      <c r="H213" s="32">
        <f>SUM(U210:U214)</f>
        <v>86.93</v>
      </c>
      <c r="I213" s="35"/>
      <c r="J213" s="30">
        <f>Source!AU125</f>
        <v>40</v>
      </c>
      <c r="K213" s="32">
        <f>SUM(V210:V214)</f>
        <v>2612.19</v>
      </c>
      <c r="L213" s="34"/>
    </row>
    <row r="214" spans="1:26" ht="14.25" x14ac:dyDescent="0.2">
      <c r="A214" s="50"/>
      <c r="B214" s="51"/>
      <c r="C214" s="51" t="s">
        <v>529</v>
      </c>
      <c r="D214" s="36" t="s">
        <v>530</v>
      </c>
      <c r="E214" s="37">
        <f>Source!AQ125</f>
        <v>4.8600000000000003</v>
      </c>
      <c r="F214" s="38"/>
      <c r="G214" s="39" t="str">
        <f>Source!DI125</f>
        <v>)*1,3</v>
      </c>
      <c r="H214" s="38"/>
      <c r="I214" s="39"/>
      <c r="J214" s="39"/>
      <c r="K214" s="38"/>
      <c r="L214" s="40">
        <f>Source!U125</f>
        <v>18.954000000000001</v>
      </c>
    </row>
    <row r="215" spans="1:26" ht="15" x14ac:dyDescent="0.25">
      <c r="G215" s="81">
        <f>H211+H212+H213</f>
        <v>445.51</v>
      </c>
      <c r="H215" s="81"/>
      <c r="J215" s="81">
        <f>K211+K212+K213</f>
        <v>13387.470000000001</v>
      </c>
      <c r="K215" s="81"/>
      <c r="L215" s="41">
        <f>Source!U125</f>
        <v>18.954000000000001</v>
      </c>
      <c r="O215" s="26">
        <f>G215</f>
        <v>445.51</v>
      </c>
      <c r="P215" s="26">
        <f>J215</f>
        <v>13387.470000000001</v>
      </c>
      <c r="Q215" s="26">
        <f>L215</f>
        <v>18.954000000000001</v>
      </c>
      <c r="W215">
        <f>IF(Source!BI125&lt;=1,H211+H212+H213, 0)</f>
        <v>0</v>
      </c>
      <c r="X215">
        <f>IF(Source!BI125=2,H211+H212+H213, 0)</f>
        <v>0</v>
      </c>
      <c r="Y215">
        <f>IF(Source!BI125=3,H211+H212+H213, 0)</f>
        <v>0</v>
      </c>
      <c r="Z215">
        <f>IF(Source!BI125=4,H211+H212+H213, 0)</f>
        <v>445.51</v>
      </c>
    </row>
    <row r="216" spans="1:26" ht="66.75" x14ac:dyDescent="0.2">
      <c r="A216" s="48" t="str">
        <f>Source!E126</f>
        <v>22</v>
      </c>
      <c r="B216" s="49" t="s">
        <v>560</v>
      </c>
      <c r="C216" s="49" t="str">
        <f>Source!G126</f>
        <v>Фазировка электрической линии или трансформатора с сетью напряжением свыше 1 кВ</v>
      </c>
      <c r="D216" s="31" t="str">
        <f>Source!H126</f>
        <v>1 фазировка</v>
      </c>
      <c r="E216" s="10">
        <f>Source!I126</f>
        <v>3</v>
      </c>
      <c r="F216" s="32">
        <f>Source!AL126+Source!AM126+Source!AO126</f>
        <v>20.74</v>
      </c>
      <c r="G216" s="33"/>
      <c r="H216" s="32"/>
      <c r="I216" s="33" t="str">
        <f>Source!BO126</f>
        <v/>
      </c>
      <c r="J216" s="33"/>
      <c r="K216" s="32"/>
      <c r="L216" s="34"/>
      <c r="S216">
        <f>ROUND((Source!FX126/100)*((ROUND(Source!AF126*Source!I126, 2)+ROUND(Source!AE126*Source!I126, 2))), 2)</f>
        <v>52.57</v>
      </c>
      <c r="T216">
        <f>Source!X126</f>
        <v>1579.79</v>
      </c>
      <c r="U216">
        <f>ROUND((Source!FY126/100)*((ROUND(Source!AF126*Source!I126, 2)+ROUND(Source!AE126*Source!I126, 2))), 2)</f>
        <v>32.35</v>
      </c>
      <c r="V216">
        <f>Source!Y126</f>
        <v>972.18</v>
      </c>
    </row>
    <row r="217" spans="1:26" ht="14.25" x14ac:dyDescent="0.2">
      <c r="A217" s="48"/>
      <c r="B217" s="49"/>
      <c r="C217" s="49" t="s">
        <v>525</v>
      </c>
      <c r="D217" s="31"/>
      <c r="E217" s="10"/>
      <c r="F217" s="32">
        <f>Source!AO126</f>
        <v>20.74</v>
      </c>
      <c r="G217" s="33" t="str">
        <f>Source!DG126</f>
        <v>)*1,3</v>
      </c>
      <c r="H217" s="32">
        <f>ROUND(Source!AF126*Source!I126, 2)</f>
        <v>80.88</v>
      </c>
      <c r="I217" s="33"/>
      <c r="J217" s="33">
        <f>IF(Source!BA126&lt;&gt; 0, Source!BA126, 1)</f>
        <v>30.05</v>
      </c>
      <c r="K217" s="32">
        <f>Source!S126</f>
        <v>2430.44</v>
      </c>
      <c r="L217" s="34"/>
      <c r="R217">
        <f>H217</f>
        <v>80.88</v>
      </c>
    </row>
    <row r="218" spans="1:26" ht="14.25" x14ac:dyDescent="0.2">
      <c r="A218" s="48"/>
      <c r="B218" s="49"/>
      <c r="C218" s="49" t="s">
        <v>526</v>
      </c>
      <c r="D218" s="31" t="s">
        <v>527</v>
      </c>
      <c r="E218" s="10">
        <f>Source!BZ126</f>
        <v>65</v>
      </c>
      <c r="F218" s="53"/>
      <c r="G218" s="33"/>
      <c r="H218" s="32">
        <f>SUM(S216:S220)</f>
        <v>52.57</v>
      </c>
      <c r="I218" s="35"/>
      <c r="J218" s="30">
        <f>Source!AT126</f>
        <v>65</v>
      </c>
      <c r="K218" s="32">
        <f>SUM(T216:T220)</f>
        <v>1579.79</v>
      </c>
      <c r="L218" s="34"/>
    </row>
    <row r="219" spans="1:26" ht="14.25" x14ac:dyDescent="0.2">
      <c r="A219" s="48"/>
      <c r="B219" s="49"/>
      <c r="C219" s="49" t="s">
        <v>528</v>
      </c>
      <c r="D219" s="31" t="s">
        <v>527</v>
      </c>
      <c r="E219" s="10">
        <f>Source!CA126</f>
        <v>40</v>
      </c>
      <c r="F219" s="53"/>
      <c r="G219" s="33"/>
      <c r="H219" s="32">
        <f>SUM(U216:U220)</f>
        <v>32.35</v>
      </c>
      <c r="I219" s="35"/>
      <c r="J219" s="30">
        <f>Source!AU126</f>
        <v>40</v>
      </c>
      <c r="K219" s="32">
        <f>SUM(V216:V220)</f>
        <v>972.18</v>
      </c>
      <c r="L219" s="34"/>
    </row>
    <row r="220" spans="1:26" ht="14.25" x14ac:dyDescent="0.2">
      <c r="A220" s="50"/>
      <c r="B220" s="51"/>
      <c r="C220" s="51" t="s">
        <v>529</v>
      </c>
      <c r="D220" s="36" t="s">
        <v>530</v>
      </c>
      <c r="E220" s="37">
        <f>Source!AQ126</f>
        <v>1.62</v>
      </c>
      <c r="F220" s="38"/>
      <c r="G220" s="39" t="str">
        <f>Source!DI126</f>
        <v>)*1,3</v>
      </c>
      <c r="H220" s="38"/>
      <c r="I220" s="39"/>
      <c r="J220" s="39"/>
      <c r="K220" s="38"/>
      <c r="L220" s="40">
        <f>Source!U126</f>
        <v>6.3180000000000014</v>
      </c>
    </row>
    <row r="221" spans="1:26" ht="15" x14ac:dyDescent="0.25">
      <c r="G221" s="81">
        <f>H217+H218+H219</f>
        <v>165.79999999999998</v>
      </c>
      <c r="H221" s="81"/>
      <c r="J221" s="81">
        <f>K217+K218+K219</f>
        <v>4982.41</v>
      </c>
      <c r="K221" s="81"/>
      <c r="L221" s="41">
        <f>Source!U126</f>
        <v>6.3180000000000014</v>
      </c>
      <c r="O221" s="26">
        <f>G221</f>
        <v>165.79999999999998</v>
      </c>
      <c r="P221" s="26">
        <f>J221</f>
        <v>4982.41</v>
      </c>
      <c r="Q221" s="26">
        <f>L221</f>
        <v>6.3180000000000014</v>
      </c>
      <c r="W221">
        <f>IF(Source!BI126&lt;=1,H217+H218+H219, 0)</f>
        <v>0</v>
      </c>
      <c r="X221">
        <f>IF(Source!BI126=2,H217+H218+H219, 0)</f>
        <v>0</v>
      </c>
      <c r="Y221">
        <f>IF(Source!BI126=3,H217+H218+H219, 0)</f>
        <v>0</v>
      </c>
      <c r="Z221">
        <f>IF(Source!BI126=4,H217+H218+H219, 0)</f>
        <v>165.79999999999998</v>
      </c>
    </row>
    <row r="223" spans="1:26" ht="15" x14ac:dyDescent="0.25">
      <c r="A223" s="84" t="str">
        <f>CONCATENATE("Итого по разделу: ",IF(Source!G128&lt;&gt;"Новый раздел", Source!G128, ""))</f>
        <v>Итого по разделу: Пусконаладочные работы</v>
      </c>
      <c r="B223" s="84"/>
      <c r="C223" s="84"/>
      <c r="D223" s="84"/>
      <c r="E223" s="84"/>
      <c r="F223" s="84"/>
      <c r="G223" s="83">
        <f>SUM(O209:O222)</f>
        <v>611.30999999999995</v>
      </c>
      <c r="H223" s="83"/>
      <c r="I223" s="29"/>
      <c r="J223" s="83">
        <f>SUM(P209:P222)</f>
        <v>18369.88</v>
      </c>
      <c r="K223" s="83"/>
      <c r="L223" s="41">
        <f>SUM(Q209:Q222)</f>
        <v>25.272000000000002</v>
      </c>
    </row>
    <row r="227" spans="1:26" ht="16.5" x14ac:dyDescent="0.25">
      <c r="A227" s="82" t="str">
        <f>CONCATENATE("Раздел: ",IF(Source!G157&lt;&gt;"Новый раздел", Source!G157, ""))</f>
        <v>Раздел: Материалы Заказчика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</row>
    <row r="228" spans="1:26" ht="25.5" x14ac:dyDescent="0.2">
      <c r="A228" s="50" t="str">
        <f>Source!E161</f>
        <v>23</v>
      </c>
      <c r="B228" s="80" t="s">
        <v>654</v>
      </c>
      <c r="C228" s="51" t="str">
        <f>Source!G161</f>
        <v>Кабель АПвБП 3х95/16-10</v>
      </c>
      <c r="D228" s="36" t="str">
        <f>Source!H161</f>
        <v>м</v>
      </c>
      <c r="E228" s="37">
        <f>Source!I161</f>
        <v>1040</v>
      </c>
      <c r="F228" s="38">
        <f>Source!AL161</f>
        <v>755</v>
      </c>
      <c r="G228" s="39" t="str">
        <f>Source!DD161</f>
        <v/>
      </c>
      <c r="H228" s="38">
        <f>ROUND(Source!AC161*Source!I161, 2)</f>
        <v>785200</v>
      </c>
      <c r="I228" s="39" t="str">
        <f>Source!BO161</f>
        <v/>
      </c>
      <c r="J228" s="39">
        <f>IF(Source!BC161&lt;&gt; 0, Source!BC161, 1)</f>
        <v>1</v>
      </c>
      <c r="K228" s="38">
        <f>Source!P161</f>
        <v>785200</v>
      </c>
      <c r="L228" s="43"/>
      <c r="S228">
        <f>ROUND((Source!FX161/100)*((ROUND(Source!AF161*Source!I161, 2)+ROUND(Source!AE161*Source!I161, 2))), 2)</f>
        <v>0</v>
      </c>
      <c r="T228">
        <f>Source!X161</f>
        <v>0</v>
      </c>
      <c r="U228">
        <f>ROUND((Source!FY161/100)*((ROUND(Source!AF161*Source!I161, 2)+ROUND(Source!AE161*Source!I161, 2))), 2)</f>
        <v>0</v>
      </c>
      <c r="V228">
        <f>Source!Y161</f>
        <v>0</v>
      </c>
    </row>
    <row r="229" spans="1:26" ht="15" x14ac:dyDescent="0.25">
      <c r="G229" s="81">
        <f>H228</f>
        <v>785200</v>
      </c>
      <c r="H229" s="81"/>
      <c r="J229" s="81">
        <f>K228</f>
        <v>785200</v>
      </c>
      <c r="K229" s="81"/>
      <c r="L229" s="41">
        <f>Source!U161</f>
        <v>0</v>
      </c>
      <c r="O229" s="26">
        <f>G229</f>
        <v>785200</v>
      </c>
      <c r="P229" s="26">
        <f>J229</f>
        <v>785200</v>
      </c>
      <c r="Q229" s="26">
        <f>L229</f>
        <v>0</v>
      </c>
      <c r="W229">
        <f>IF(Source!BI161&lt;=1,H228, 0)</f>
        <v>785200</v>
      </c>
      <c r="X229">
        <f>IF(Source!BI161=2,H228, 0)</f>
        <v>0</v>
      </c>
      <c r="Y229">
        <f>IF(Source!BI161=3,H228, 0)</f>
        <v>0</v>
      </c>
      <c r="Z229">
        <f>IF(Source!BI161=4,H228, 0)</f>
        <v>0</v>
      </c>
    </row>
    <row r="231" spans="1:26" ht="15" x14ac:dyDescent="0.25">
      <c r="A231" s="84" t="str">
        <f>CONCATENATE("Итого по разделу: ",IF(Source!G163&lt;&gt;"Новый раздел", Source!G163, ""))</f>
        <v>Итого по разделу: Материалы Заказчика</v>
      </c>
      <c r="B231" s="84"/>
      <c r="C231" s="84"/>
      <c r="D231" s="84"/>
      <c r="E231" s="84"/>
      <c r="F231" s="84"/>
      <c r="G231" s="83">
        <f>SUM(O227:O230)</f>
        <v>785200</v>
      </c>
      <c r="H231" s="83"/>
      <c r="I231" s="29"/>
      <c r="J231" s="83">
        <f>SUM(P227:P230)</f>
        <v>785200</v>
      </c>
      <c r="K231" s="83"/>
      <c r="L231" s="41">
        <f>SUM(Q227:Q230)</f>
        <v>0</v>
      </c>
    </row>
    <row r="235" spans="1:26" ht="16.5" x14ac:dyDescent="0.25">
      <c r="A235" s="82" t="str">
        <f>CONCATENATE("Раздел: ",IF(Source!G192&lt;&gt;"Новый раздел", Source!G192, ""))</f>
        <v>Раздел: Материалы не учтенные ценником</v>
      </c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</row>
    <row r="236" spans="1:26" ht="25.5" x14ac:dyDescent="0.2">
      <c r="A236" s="50" t="str">
        <f>Source!E196</f>
        <v>24</v>
      </c>
      <c r="B236" s="80" t="s">
        <v>654</v>
      </c>
      <c r="C236" s="51" t="str">
        <f>Source!G196</f>
        <v>Муфта соединительная  СТП-10 70/120</v>
      </c>
      <c r="D236" s="36" t="str">
        <f>Source!H196</f>
        <v>ШТ</v>
      </c>
      <c r="E236" s="37">
        <f>Source!I196</f>
        <v>3</v>
      </c>
      <c r="F236" s="38">
        <f>Source!AL196</f>
        <v>3165</v>
      </c>
      <c r="G236" s="39" t="str">
        <f>Source!DD196</f>
        <v/>
      </c>
      <c r="H236" s="38">
        <f>ROUND(Source!AC196*Source!I196, 2)</f>
        <v>9495</v>
      </c>
      <c r="I236" s="39" t="str">
        <f>Source!BO196</f>
        <v/>
      </c>
      <c r="J236" s="39">
        <f>IF(Source!BC196&lt;&gt; 0, Source!BC196, 1)</f>
        <v>1</v>
      </c>
      <c r="K236" s="38">
        <f>Source!P196</f>
        <v>9495</v>
      </c>
      <c r="L236" s="43"/>
      <c r="S236">
        <f>ROUND((Source!FX196/100)*((ROUND(Source!AF196*Source!I196, 2)+ROUND(Source!AE196*Source!I196, 2))), 2)</f>
        <v>0</v>
      </c>
      <c r="T236">
        <f>Source!X196</f>
        <v>0</v>
      </c>
      <c r="U236">
        <f>ROUND((Source!FY196/100)*((ROUND(Source!AF196*Source!I196, 2)+ROUND(Source!AE196*Source!I196, 2))), 2)</f>
        <v>0</v>
      </c>
      <c r="V236">
        <f>Source!Y196</f>
        <v>0</v>
      </c>
    </row>
    <row r="237" spans="1:26" ht="15" x14ac:dyDescent="0.25">
      <c r="G237" s="81">
        <f>H236</f>
        <v>9495</v>
      </c>
      <c r="H237" s="81"/>
      <c r="J237" s="81">
        <f>K236</f>
        <v>9495</v>
      </c>
      <c r="K237" s="81"/>
      <c r="L237" s="41">
        <f>Source!U196</f>
        <v>0</v>
      </c>
      <c r="O237" s="26">
        <f>G237</f>
        <v>9495</v>
      </c>
      <c r="P237" s="26">
        <f>J237</f>
        <v>9495</v>
      </c>
      <c r="Q237" s="26">
        <f>L237</f>
        <v>0</v>
      </c>
      <c r="W237">
        <f>IF(Source!BI196&lt;=1,H236, 0)</f>
        <v>9495</v>
      </c>
      <c r="X237">
        <f>IF(Source!BI196=2,H236, 0)</f>
        <v>0</v>
      </c>
      <c r="Y237">
        <f>IF(Source!BI196=3,H236, 0)</f>
        <v>0</v>
      </c>
      <c r="Z237">
        <f>IF(Source!BI196=4,H236, 0)</f>
        <v>0</v>
      </c>
    </row>
    <row r="238" spans="1:26" ht="25.5" x14ac:dyDescent="0.2">
      <c r="A238" s="50" t="str">
        <f>Source!E197</f>
        <v>25</v>
      </c>
      <c r="B238" s="80" t="s">
        <v>654</v>
      </c>
      <c r="C238" s="51" t="str">
        <f>Source!G197</f>
        <v>Муфта концевая КНтП-10 70/120</v>
      </c>
      <c r="D238" s="36" t="str">
        <f>Source!H197</f>
        <v>ШТ</v>
      </c>
      <c r="E238" s="37">
        <f>Source!I197</f>
        <v>2</v>
      </c>
      <c r="F238" s="38">
        <f>Source!AL197</f>
        <v>1699</v>
      </c>
      <c r="G238" s="39" t="str">
        <f>Source!DD197</f>
        <v/>
      </c>
      <c r="H238" s="38">
        <f>ROUND(Source!AC197*Source!I197, 2)</f>
        <v>3398</v>
      </c>
      <c r="I238" s="39" t="str">
        <f>Source!BO197</f>
        <v/>
      </c>
      <c r="J238" s="39">
        <f>IF(Source!BC197&lt;&gt; 0, Source!BC197, 1)</f>
        <v>1</v>
      </c>
      <c r="K238" s="38">
        <f>Source!P197</f>
        <v>3398</v>
      </c>
      <c r="L238" s="43"/>
      <c r="S238">
        <f>ROUND((Source!FX197/100)*((ROUND(Source!AF197*Source!I197, 2)+ROUND(Source!AE197*Source!I197, 2))), 2)</f>
        <v>0</v>
      </c>
      <c r="T238">
        <f>Source!X197</f>
        <v>0</v>
      </c>
      <c r="U238">
        <f>ROUND((Source!FY197/100)*((ROUND(Source!AF197*Source!I197, 2)+ROUND(Source!AE197*Source!I197, 2))), 2)</f>
        <v>0</v>
      </c>
      <c r="V238">
        <f>Source!Y197</f>
        <v>0</v>
      </c>
    </row>
    <row r="239" spans="1:26" ht="15" x14ac:dyDescent="0.25">
      <c r="G239" s="81">
        <f>H238</f>
        <v>3398</v>
      </c>
      <c r="H239" s="81"/>
      <c r="J239" s="81">
        <f>K238</f>
        <v>3398</v>
      </c>
      <c r="K239" s="81"/>
      <c r="L239" s="41">
        <f>Source!U197</f>
        <v>0</v>
      </c>
      <c r="O239" s="26">
        <f>G239</f>
        <v>3398</v>
      </c>
      <c r="P239" s="26">
        <f>J239</f>
        <v>3398</v>
      </c>
      <c r="Q239" s="26">
        <f>L239</f>
        <v>0</v>
      </c>
      <c r="W239">
        <f>IF(Source!BI197&lt;=1,H238, 0)</f>
        <v>3398</v>
      </c>
      <c r="X239">
        <f>IF(Source!BI197=2,H238, 0)</f>
        <v>0</v>
      </c>
      <c r="Y239">
        <f>IF(Source!BI197=3,H238, 0)</f>
        <v>0</v>
      </c>
      <c r="Z239">
        <f>IF(Source!BI197=4,H238, 0)</f>
        <v>0</v>
      </c>
    </row>
    <row r="241" spans="1:32" ht="15" x14ac:dyDescent="0.25">
      <c r="A241" s="84" t="str">
        <f>CONCATENATE("Итого по разделу: ",IF(Source!G199&lt;&gt;"Новый раздел", Source!G199, ""))</f>
        <v>Итого по разделу: Материалы не учтенные ценником</v>
      </c>
      <c r="B241" s="84"/>
      <c r="C241" s="84"/>
      <c r="D241" s="84"/>
      <c r="E241" s="84"/>
      <c r="F241" s="84"/>
      <c r="G241" s="83">
        <f>SUM(O235:O240)</f>
        <v>12893</v>
      </c>
      <c r="H241" s="83"/>
      <c r="I241" s="29"/>
      <c r="J241" s="83">
        <f>SUM(P235:P240)</f>
        <v>12893</v>
      </c>
      <c r="K241" s="83"/>
      <c r="L241" s="41">
        <f>SUM(Q235:Q240)</f>
        <v>0</v>
      </c>
      <c r="AF241" s="56" t="str">
        <f>CONCATENATE("Итого по разделу: ",IF(Source!G199&lt;&gt;"Новый раздел", Source!G199, ""))</f>
        <v>Итого по разделу: Материалы не учтенные ценником</v>
      </c>
    </row>
    <row r="244" spans="1:32" ht="14.25" x14ac:dyDescent="0.2">
      <c r="C244" s="87" t="str">
        <f>Source!H227</f>
        <v>ТЗР 6,9%</v>
      </c>
      <c r="D244" s="87"/>
      <c r="E244" s="87"/>
      <c r="F244" s="87"/>
      <c r="G244" s="87"/>
      <c r="H244" s="87"/>
      <c r="I244" s="87"/>
      <c r="J244" s="88">
        <f>IF(Source!F227=0, "", Source!F227)</f>
        <v>889.62</v>
      </c>
      <c r="K244" s="88"/>
    </row>
    <row r="245" spans="1:32" ht="14.25" x14ac:dyDescent="0.2">
      <c r="C245" s="87" t="str">
        <f>Source!H228</f>
        <v>Итого с ТЗР</v>
      </c>
      <c r="D245" s="87"/>
      <c r="E245" s="87"/>
      <c r="F245" s="87"/>
      <c r="G245" s="87"/>
      <c r="H245" s="87"/>
      <c r="I245" s="87"/>
      <c r="J245" s="88">
        <f>IF(Source!F228=0, "", Source!F228)</f>
        <v>13782.62</v>
      </c>
      <c r="K245" s="88"/>
    </row>
    <row r="247" spans="1:32" ht="30" hidden="1" x14ac:dyDescent="0.25">
      <c r="A247" s="84" t="str">
        <f>CONCATENATE("Итого по локальной смете: ",IF(Source!G230&lt;&gt;"Новая локальная смета", Source!G230, ""))</f>
        <v>Итого по локальной смете: Существующая электрическая сеть 6 кВ по территории СНТ " Фарфорист" и СНТ " Дружба"</v>
      </c>
      <c r="B247" s="84"/>
      <c r="C247" s="84"/>
      <c r="D247" s="84"/>
      <c r="E247" s="84"/>
      <c r="F247" s="84"/>
      <c r="G247" s="83">
        <f>SUM(O37:O246)</f>
        <v>948712.75</v>
      </c>
      <c r="H247" s="83"/>
      <c r="I247" s="29"/>
      <c r="J247" s="83">
        <f>SUM(P37:P246)</f>
        <v>3244690.47</v>
      </c>
      <c r="K247" s="83"/>
      <c r="L247" s="41">
        <f>SUM(Q37:Q246)</f>
        <v>2832.8306627999996</v>
      </c>
      <c r="AF247" s="56" t="str">
        <f>CONCATENATE("Итого по локальной смете: ",IF(Source!G230&lt;&gt;"Новая локальная смета", Source!G230, ""))</f>
        <v>Итого по локальной смете: Существующая электрическая сеть 6 кВ по территории СНТ " Фарфорист" и СНТ " Дружба"</v>
      </c>
    </row>
    <row r="251" spans="1:32" ht="30" x14ac:dyDescent="0.25">
      <c r="A251" s="84" t="str">
        <f>CONCATENATE("Итого по смете: ",IF(Source!G259&lt;&gt;"Новый объект", Source!G259, ""))</f>
        <v>Итого по смете: Существующая электрическая сеть 6 кВ по территории СНТ " Фарфорист" и СНТ " Дружба"</v>
      </c>
      <c r="B251" s="84"/>
      <c r="C251" s="84"/>
      <c r="D251" s="84"/>
      <c r="E251" s="84"/>
      <c r="F251" s="84"/>
      <c r="G251" s="83">
        <f>SUM(O1:O250)</f>
        <v>948712.75</v>
      </c>
      <c r="H251" s="83"/>
      <c r="I251" s="29"/>
      <c r="J251" s="83">
        <f>SUM(P1:P250)+J244</f>
        <v>3245580.0900000003</v>
      </c>
      <c r="K251" s="83"/>
      <c r="L251" s="41">
        <f>SUM(Q1:Q250)</f>
        <v>2832.8306627999996</v>
      </c>
      <c r="AF251" s="56" t="str">
        <f>CONCATENATE("Итого по смете: ",IF(Source!G259&lt;&gt;"Новый объект", Source!G259, ""))</f>
        <v>Итого по смете: Существующая электрическая сеть 6 кВ по территории СНТ " Фарфорист" и СНТ " Дружба"</v>
      </c>
    </row>
    <row r="253" spans="1:32" ht="14.25" x14ac:dyDescent="0.2">
      <c r="C253" s="87" t="str">
        <f>Source!H287</f>
        <v>Материалы Заказчика</v>
      </c>
      <c r="D253" s="87"/>
      <c r="E253" s="87"/>
      <c r="F253" s="87"/>
      <c r="G253" s="87"/>
      <c r="H253" s="87"/>
      <c r="I253" s="87"/>
      <c r="J253" s="88">
        <f>IF(Source!F287=0, "", Source!F287)</f>
        <v>785200</v>
      </c>
      <c r="K253" s="88"/>
    </row>
    <row r="254" spans="1:32" ht="14.25" x14ac:dyDescent="0.2">
      <c r="C254" s="87" t="str">
        <f>Source!H288</f>
        <v>Итого без материалов Заказчика</v>
      </c>
      <c r="D254" s="87"/>
      <c r="E254" s="87"/>
      <c r="F254" s="87"/>
      <c r="G254" s="87"/>
      <c r="H254" s="87"/>
      <c r="I254" s="87"/>
      <c r="J254" s="88">
        <f>IF(Source!F288=0, "", Source!F288)</f>
        <v>2460380.09</v>
      </c>
      <c r="K254" s="88"/>
    </row>
    <row r="255" spans="1:32" ht="14.25" x14ac:dyDescent="0.2">
      <c r="C255" s="87" t="str">
        <f>Source!H289</f>
        <v>Составление тех. отчета 1,5%</v>
      </c>
      <c r="D255" s="87"/>
      <c r="E255" s="87"/>
      <c r="F255" s="87"/>
      <c r="G255" s="87"/>
      <c r="H255" s="87"/>
      <c r="I255" s="87"/>
      <c r="J255" s="88">
        <f>IF(Source!F289=0, "", Source!F289)</f>
        <v>275.55</v>
      </c>
      <c r="K255" s="88"/>
    </row>
    <row r="256" spans="1:32" ht="14.25" x14ac:dyDescent="0.2">
      <c r="C256" s="87" t="str">
        <f>Source!H290</f>
        <v>Составление сметной документации 0,6%</v>
      </c>
      <c r="D256" s="87"/>
      <c r="E256" s="87"/>
      <c r="F256" s="87"/>
      <c r="G256" s="87"/>
      <c r="H256" s="87"/>
      <c r="I256" s="87"/>
      <c r="J256" s="88">
        <f>IF(Source!F290=0, "", Source!F290)</f>
        <v>14762.28</v>
      </c>
      <c r="K256" s="88"/>
    </row>
    <row r="257" spans="1:12" ht="14.25" x14ac:dyDescent="0.2">
      <c r="C257" s="87" t="str">
        <f>Source!H291</f>
        <v>Итого</v>
      </c>
      <c r="D257" s="87"/>
      <c r="E257" s="87"/>
      <c r="F257" s="87"/>
      <c r="G257" s="87"/>
      <c r="H257" s="87"/>
      <c r="I257" s="87"/>
      <c r="J257" s="88">
        <f>IF(Source!F291=0, "", Source!F291)</f>
        <v>2475417.92</v>
      </c>
      <c r="K257" s="88"/>
    </row>
    <row r="258" spans="1:12" ht="14.25" x14ac:dyDescent="0.2">
      <c r="C258" s="87" t="str">
        <f>Source!H292</f>
        <v>НДС 20%</v>
      </c>
      <c r="D258" s="87"/>
      <c r="E258" s="87"/>
      <c r="F258" s="87"/>
      <c r="G258" s="87"/>
      <c r="H258" s="87"/>
      <c r="I258" s="87"/>
      <c r="J258" s="88">
        <f>IF(Source!F292=0, "", Source!F292)</f>
        <v>495083.58</v>
      </c>
      <c r="K258" s="88"/>
    </row>
    <row r="259" spans="1:12" ht="14.25" x14ac:dyDescent="0.2">
      <c r="C259" s="87" t="str">
        <f>Source!H293</f>
        <v>Итого с НДС</v>
      </c>
      <c r="D259" s="87"/>
      <c r="E259" s="87"/>
      <c r="F259" s="87"/>
      <c r="G259" s="87"/>
      <c r="H259" s="87"/>
      <c r="I259" s="87"/>
      <c r="J259" s="88">
        <f>IF(Source!F293=0, "", Source!F293)</f>
        <v>2970501.5</v>
      </c>
      <c r="K259" s="88"/>
    </row>
    <row r="262" spans="1:12" ht="14.25" x14ac:dyDescent="0.2">
      <c r="A262" s="28" t="s">
        <v>561</v>
      </c>
      <c r="B262" s="28"/>
      <c r="C262" s="10" t="s">
        <v>562</v>
      </c>
      <c r="D262" s="27"/>
      <c r="E262" s="27"/>
      <c r="F262" s="27"/>
      <c r="G262" s="27"/>
      <c r="H262" s="27"/>
      <c r="I262" s="11"/>
      <c r="J262" s="11"/>
      <c r="K262" s="11"/>
      <c r="L262" s="11"/>
    </row>
    <row r="263" spans="1:12" ht="14.25" x14ac:dyDescent="0.2">
      <c r="A263" s="11"/>
      <c r="B263" s="11"/>
      <c r="C263" s="10"/>
      <c r="D263" s="89" t="s">
        <v>563</v>
      </c>
      <c r="E263" s="89"/>
      <c r="F263" s="89"/>
      <c r="G263" s="89"/>
      <c r="H263" s="89"/>
      <c r="I263" s="11"/>
      <c r="J263" s="11"/>
      <c r="K263" s="11"/>
      <c r="L263" s="11"/>
    </row>
    <row r="264" spans="1:12" ht="14.25" x14ac:dyDescent="0.2">
      <c r="A264" s="11"/>
      <c r="B264" s="11"/>
      <c r="C264" s="10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4.25" x14ac:dyDescent="0.2">
      <c r="A265" s="28" t="s">
        <v>561</v>
      </c>
      <c r="B265" s="28"/>
      <c r="C265" s="10" t="s">
        <v>564</v>
      </c>
      <c r="D265" s="27"/>
      <c r="E265" s="27"/>
      <c r="F265" s="27"/>
      <c r="G265" s="27"/>
      <c r="H265" s="27"/>
      <c r="I265" s="11"/>
      <c r="J265" s="11"/>
      <c r="K265" s="11"/>
      <c r="L265" s="11"/>
    </row>
    <row r="266" spans="1:12" ht="14.25" x14ac:dyDescent="0.2">
      <c r="A266" s="11"/>
      <c r="B266" s="11"/>
      <c r="C266" s="11"/>
      <c r="D266" s="89" t="s">
        <v>563</v>
      </c>
      <c r="E266" s="89"/>
      <c r="F266" s="89"/>
      <c r="G266" s="89"/>
      <c r="H266" s="89"/>
      <c r="I266" s="11"/>
      <c r="J266" s="11"/>
      <c r="K266" s="11"/>
      <c r="L266" s="11"/>
    </row>
  </sheetData>
  <mergeCells count="150">
    <mergeCell ref="B7:E7"/>
    <mergeCell ref="H7:L7"/>
    <mergeCell ref="B10:K10"/>
    <mergeCell ref="B11:K11"/>
    <mergeCell ref="F13:G13"/>
    <mergeCell ref="H13:K13"/>
    <mergeCell ref="B3:E3"/>
    <mergeCell ref="H3:L3"/>
    <mergeCell ref="B4:E4"/>
    <mergeCell ref="H4:L4"/>
    <mergeCell ref="B6:E6"/>
    <mergeCell ref="H6:L6"/>
    <mergeCell ref="C26:F26"/>
    <mergeCell ref="G26:H26"/>
    <mergeCell ref="I26:J26"/>
    <mergeCell ref="K26:L26"/>
    <mergeCell ref="C27:F27"/>
    <mergeCell ref="G27:H27"/>
    <mergeCell ref="I27:J27"/>
    <mergeCell ref="K27:L27"/>
    <mergeCell ref="B15:K15"/>
    <mergeCell ref="B17:K17"/>
    <mergeCell ref="B19:K19"/>
    <mergeCell ref="B20:K20"/>
    <mergeCell ref="A22:L22"/>
    <mergeCell ref="G25:H25"/>
    <mergeCell ref="I25:J25"/>
    <mergeCell ref="C30:F30"/>
    <mergeCell ref="G30:H30"/>
    <mergeCell ref="I30:J30"/>
    <mergeCell ref="K30:L30"/>
    <mergeCell ref="C31:F31"/>
    <mergeCell ref="G31:H31"/>
    <mergeCell ref="I31:J31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C253:I253"/>
    <mergeCell ref="J253:K253"/>
    <mergeCell ref="C254:I254"/>
    <mergeCell ref="J254:K254"/>
    <mergeCell ref="G251:H251"/>
    <mergeCell ref="J251:K251"/>
    <mergeCell ref="A251:F251"/>
    <mergeCell ref="G247:H247"/>
    <mergeCell ref="C32:F32"/>
    <mergeCell ref="G32:H32"/>
    <mergeCell ref="I32:J32"/>
    <mergeCell ref="K32:L32"/>
    <mergeCell ref="A34:L34"/>
    <mergeCell ref="C244:I244"/>
    <mergeCell ref="J244:K244"/>
    <mergeCell ref="F105:G105"/>
    <mergeCell ref="J98:K98"/>
    <mergeCell ref="G98:H98"/>
    <mergeCell ref="C258:I258"/>
    <mergeCell ref="J258:K258"/>
    <mergeCell ref="C259:I259"/>
    <mergeCell ref="J259:K259"/>
    <mergeCell ref="D263:H263"/>
    <mergeCell ref="D266:H266"/>
    <mergeCell ref="C255:I255"/>
    <mergeCell ref="J255:K255"/>
    <mergeCell ref="C256:I256"/>
    <mergeCell ref="J256:K256"/>
    <mergeCell ref="C257:I257"/>
    <mergeCell ref="J257:K257"/>
    <mergeCell ref="A38:L38"/>
    <mergeCell ref="J175:K175"/>
    <mergeCell ref="G175:H175"/>
    <mergeCell ref="J168:K168"/>
    <mergeCell ref="G168:H168"/>
    <mergeCell ref="J159:K159"/>
    <mergeCell ref="G159:H159"/>
    <mergeCell ref="J150:K150"/>
    <mergeCell ref="G150:H150"/>
    <mergeCell ref="J54:K54"/>
    <mergeCell ref="G54:H54"/>
    <mergeCell ref="J50:K50"/>
    <mergeCell ref="G50:H50"/>
    <mergeCell ref="F48:G48"/>
    <mergeCell ref="J44:K44"/>
    <mergeCell ref="G44:H44"/>
    <mergeCell ref="J73:K73"/>
    <mergeCell ref="G73:H73"/>
    <mergeCell ref="J64:K64"/>
    <mergeCell ref="G64:H64"/>
    <mergeCell ref="F62:G62"/>
    <mergeCell ref="J57:K57"/>
    <mergeCell ref="G57:H57"/>
    <mergeCell ref="F96:G96"/>
    <mergeCell ref="J108:K108"/>
    <mergeCell ref="G108:H108"/>
    <mergeCell ref="J141:K141"/>
    <mergeCell ref="G141:H141"/>
    <mergeCell ref="J132:K132"/>
    <mergeCell ref="G132:H132"/>
    <mergeCell ref="J123:K123"/>
    <mergeCell ref="G123:H123"/>
    <mergeCell ref="F42:G42"/>
    <mergeCell ref="J91:K91"/>
    <mergeCell ref="G91:H91"/>
    <mergeCell ref="F89:G89"/>
    <mergeCell ref="J84:K84"/>
    <mergeCell ref="G84:H84"/>
    <mergeCell ref="J229:K229"/>
    <mergeCell ref="G229:H229"/>
    <mergeCell ref="A227:L227"/>
    <mergeCell ref="G223:H223"/>
    <mergeCell ref="J223:K223"/>
    <mergeCell ref="A223:F223"/>
    <mergeCell ref="A114:L114"/>
    <mergeCell ref="G110:H110"/>
    <mergeCell ref="J110:K110"/>
    <mergeCell ref="A110:F110"/>
    <mergeCell ref="J203:K203"/>
    <mergeCell ref="G203:H203"/>
    <mergeCell ref="J195:K195"/>
    <mergeCell ref="G195:H195"/>
    <mergeCell ref="J185:K185"/>
    <mergeCell ref="G185:H185"/>
    <mergeCell ref="J221:K221"/>
    <mergeCell ref="G221:H221"/>
    <mergeCell ref="J215:K215"/>
    <mergeCell ref="G215:H215"/>
    <mergeCell ref="A209:L209"/>
    <mergeCell ref="G205:H205"/>
    <mergeCell ref="J205:K205"/>
    <mergeCell ref="A205:F205"/>
    <mergeCell ref="J237:K237"/>
    <mergeCell ref="G237:H237"/>
    <mergeCell ref="A235:L235"/>
    <mergeCell ref="G231:H231"/>
    <mergeCell ref="J231:K231"/>
    <mergeCell ref="A231:F231"/>
    <mergeCell ref="J247:K247"/>
    <mergeCell ref="A247:F247"/>
    <mergeCell ref="G241:H241"/>
    <mergeCell ref="J241:K241"/>
    <mergeCell ref="A241:F241"/>
    <mergeCell ref="J239:K239"/>
    <mergeCell ref="G239:H239"/>
    <mergeCell ref="C245:I245"/>
    <mergeCell ref="J245:K245"/>
  </mergeCells>
  <pageMargins left="0.4" right="0.2" top="0.4" bottom="0.4" header="0.2" footer="0.2"/>
  <pageSetup paperSize="9" scale="60" fitToHeight="0" orientation="portrait" r:id="rId1"/>
  <headerFooter>
    <oddHeader>&amp;L&amp;8.  Доп. раб. место  FStS-0041017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48276659</v>
      </c>
      <c r="C1">
        <v>48276657</v>
      </c>
      <c r="D1">
        <v>18406804</v>
      </c>
      <c r="E1">
        <v>1</v>
      </c>
      <c r="F1">
        <v>1</v>
      </c>
      <c r="G1">
        <v>1</v>
      </c>
      <c r="H1">
        <v>1</v>
      </c>
      <c r="I1" t="s">
        <v>354</v>
      </c>
      <c r="J1" t="s">
        <v>6</v>
      </c>
      <c r="K1" t="s">
        <v>355</v>
      </c>
      <c r="L1">
        <v>1369</v>
      </c>
      <c r="N1">
        <v>1013</v>
      </c>
      <c r="O1" t="s">
        <v>356</v>
      </c>
      <c r="P1" t="s">
        <v>356</v>
      </c>
      <c r="Q1">
        <v>1</v>
      </c>
      <c r="X1">
        <v>154</v>
      </c>
      <c r="Y1">
        <v>0</v>
      </c>
      <c r="Z1">
        <v>0</v>
      </c>
      <c r="AA1">
        <v>0</v>
      </c>
      <c r="AB1">
        <v>192.82</v>
      </c>
      <c r="AC1">
        <v>0</v>
      </c>
      <c r="AD1">
        <v>1</v>
      </c>
      <c r="AE1">
        <v>1</v>
      </c>
      <c r="AF1" t="s">
        <v>34</v>
      </c>
      <c r="AG1">
        <v>244.39799999999994</v>
      </c>
      <c r="AH1">
        <v>2</v>
      </c>
      <c r="AI1">
        <v>48276658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ROW(Source!A29)</f>
        <v>29</v>
      </c>
      <c r="B2">
        <v>48276662</v>
      </c>
      <c r="C2">
        <v>48276660</v>
      </c>
      <c r="D2">
        <v>18411579</v>
      </c>
      <c r="E2">
        <v>1</v>
      </c>
      <c r="F2">
        <v>1</v>
      </c>
      <c r="G2">
        <v>1</v>
      </c>
      <c r="H2">
        <v>1</v>
      </c>
      <c r="I2" t="s">
        <v>357</v>
      </c>
      <c r="J2" t="s">
        <v>6</v>
      </c>
      <c r="K2" t="s">
        <v>358</v>
      </c>
      <c r="L2">
        <v>1369</v>
      </c>
      <c r="N2">
        <v>1013</v>
      </c>
      <c r="O2" t="s">
        <v>356</v>
      </c>
      <c r="P2" t="s">
        <v>356</v>
      </c>
      <c r="Q2">
        <v>1</v>
      </c>
      <c r="X2">
        <v>88.5</v>
      </c>
      <c r="Y2">
        <v>0</v>
      </c>
      <c r="Z2">
        <v>0</v>
      </c>
      <c r="AA2">
        <v>0</v>
      </c>
      <c r="AB2">
        <v>185.4</v>
      </c>
      <c r="AC2">
        <v>0</v>
      </c>
      <c r="AD2">
        <v>1</v>
      </c>
      <c r="AE2">
        <v>1</v>
      </c>
      <c r="AF2" t="s">
        <v>34</v>
      </c>
      <c r="AG2">
        <v>140.44949999999997</v>
      </c>
      <c r="AH2">
        <v>2</v>
      </c>
      <c r="AI2">
        <v>48276661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ROW(Source!A30)</f>
        <v>30</v>
      </c>
      <c r="B3">
        <v>48276666</v>
      </c>
      <c r="C3">
        <v>48276663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40</v>
      </c>
      <c r="J3" t="s">
        <v>6</v>
      </c>
      <c r="K3" t="s">
        <v>359</v>
      </c>
      <c r="L3">
        <v>608254</v>
      </c>
      <c r="N3">
        <v>1013</v>
      </c>
      <c r="O3" t="s">
        <v>360</v>
      </c>
      <c r="P3" t="s">
        <v>360</v>
      </c>
      <c r="Q3">
        <v>1</v>
      </c>
      <c r="X3">
        <v>2.9000000000000001E-2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49</v>
      </c>
      <c r="AG3">
        <v>4.0019999999999993E-2</v>
      </c>
      <c r="AH3">
        <v>2</v>
      </c>
      <c r="AI3">
        <v>48276664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ROW(Source!A30)</f>
        <v>30</v>
      </c>
      <c r="B4">
        <v>48276667</v>
      </c>
      <c r="C4">
        <v>48276663</v>
      </c>
      <c r="D4">
        <v>38769754</v>
      </c>
      <c r="E4">
        <v>1</v>
      </c>
      <c r="F4">
        <v>1</v>
      </c>
      <c r="G4">
        <v>1</v>
      </c>
      <c r="H4">
        <v>2</v>
      </c>
      <c r="I4" t="s">
        <v>361</v>
      </c>
      <c r="J4" t="s">
        <v>362</v>
      </c>
      <c r="K4" t="s">
        <v>363</v>
      </c>
      <c r="L4">
        <v>1368</v>
      </c>
      <c r="N4">
        <v>1011</v>
      </c>
      <c r="O4" t="s">
        <v>364</v>
      </c>
      <c r="P4" t="s">
        <v>364</v>
      </c>
      <c r="Q4">
        <v>1</v>
      </c>
      <c r="X4">
        <v>2.9000000000000001E-2</v>
      </c>
      <c r="Y4">
        <v>0</v>
      </c>
      <c r="Z4">
        <v>125.7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49</v>
      </c>
      <c r="AG4">
        <v>4.0019999999999993E-2</v>
      </c>
      <c r="AH4">
        <v>2</v>
      </c>
      <c r="AI4">
        <v>48276665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ROW(Source!A31)</f>
        <v>31</v>
      </c>
      <c r="B5">
        <v>48276670</v>
      </c>
      <c r="C5">
        <v>48276668</v>
      </c>
      <c r="D5">
        <v>38771297</v>
      </c>
      <c r="E5">
        <v>1</v>
      </c>
      <c r="F5">
        <v>1</v>
      </c>
      <c r="G5">
        <v>1</v>
      </c>
      <c r="H5">
        <v>2</v>
      </c>
      <c r="I5" t="s">
        <v>365</v>
      </c>
      <c r="J5" t="s">
        <v>366</v>
      </c>
      <c r="K5" t="s">
        <v>367</v>
      </c>
      <c r="L5">
        <v>1368</v>
      </c>
      <c r="N5">
        <v>1011</v>
      </c>
      <c r="O5" t="s">
        <v>364</v>
      </c>
      <c r="P5" t="s">
        <v>364</v>
      </c>
      <c r="Q5">
        <v>1</v>
      </c>
      <c r="X5">
        <v>0.154</v>
      </c>
      <c r="Y5">
        <v>0</v>
      </c>
      <c r="Z5">
        <v>112.47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0.154</v>
      </c>
      <c r="AH5">
        <v>2</v>
      </c>
      <c r="AI5">
        <v>48276669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ROW(Source!A32)</f>
        <v>32</v>
      </c>
      <c r="B6">
        <v>48277300</v>
      </c>
      <c r="C6">
        <v>48277294</v>
      </c>
      <c r="D6">
        <v>18410631</v>
      </c>
      <c r="E6">
        <v>1</v>
      </c>
      <c r="F6">
        <v>1</v>
      </c>
      <c r="G6">
        <v>1</v>
      </c>
      <c r="H6">
        <v>1</v>
      </c>
      <c r="I6" t="s">
        <v>368</v>
      </c>
      <c r="J6" t="s">
        <v>6</v>
      </c>
      <c r="K6" t="s">
        <v>369</v>
      </c>
      <c r="L6">
        <v>1369</v>
      </c>
      <c r="N6">
        <v>1013</v>
      </c>
      <c r="O6" t="s">
        <v>356</v>
      </c>
      <c r="P6" t="s">
        <v>356</v>
      </c>
      <c r="Q6">
        <v>1</v>
      </c>
      <c r="X6">
        <v>144</v>
      </c>
      <c r="Y6">
        <v>0</v>
      </c>
      <c r="Z6">
        <v>0</v>
      </c>
      <c r="AA6">
        <v>0</v>
      </c>
      <c r="AB6">
        <v>254.22</v>
      </c>
      <c r="AC6">
        <v>0</v>
      </c>
      <c r="AD6">
        <v>1</v>
      </c>
      <c r="AE6">
        <v>1</v>
      </c>
      <c r="AF6" t="s">
        <v>34</v>
      </c>
      <c r="AG6">
        <v>228.52799999999993</v>
      </c>
      <c r="AH6">
        <v>2</v>
      </c>
      <c r="AI6">
        <v>48277295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ROW(Source!A32)</f>
        <v>32</v>
      </c>
      <c r="B7">
        <v>48277301</v>
      </c>
      <c r="C7">
        <v>48277294</v>
      </c>
      <c r="D7">
        <v>29107376</v>
      </c>
      <c r="E7">
        <v>1</v>
      </c>
      <c r="F7">
        <v>1</v>
      </c>
      <c r="G7">
        <v>1</v>
      </c>
      <c r="H7">
        <v>3</v>
      </c>
      <c r="I7" t="s">
        <v>370</v>
      </c>
      <c r="J7" t="s">
        <v>371</v>
      </c>
      <c r="K7" t="s">
        <v>372</v>
      </c>
      <c r="L7">
        <v>1301</v>
      </c>
      <c r="N7">
        <v>1003</v>
      </c>
      <c r="O7" t="s">
        <v>105</v>
      </c>
      <c r="P7" t="s">
        <v>105</v>
      </c>
      <c r="Q7">
        <v>1</v>
      </c>
      <c r="X7">
        <v>990</v>
      </c>
      <c r="Y7">
        <v>14.48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990</v>
      </c>
      <c r="AH7">
        <v>2</v>
      </c>
      <c r="AI7">
        <v>48277296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ROW(Source!A32)</f>
        <v>32</v>
      </c>
      <c r="B8">
        <v>48277302</v>
      </c>
      <c r="C8">
        <v>48277294</v>
      </c>
      <c r="D8">
        <v>29115187</v>
      </c>
      <c r="E8">
        <v>1</v>
      </c>
      <c r="F8">
        <v>1</v>
      </c>
      <c r="G8">
        <v>1</v>
      </c>
      <c r="H8">
        <v>3</v>
      </c>
      <c r="I8" t="s">
        <v>373</v>
      </c>
      <c r="J8" t="s">
        <v>374</v>
      </c>
      <c r="K8" t="s">
        <v>375</v>
      </c>
      <c r="L8">
        <v>1339</v>
      </c>
      <c r="N8">
        <v>1007</v>
      </c>
      <c r="O8" t="s">
        <v>191</v>
      </c>
      <c r="P8" t="s">
        <v>191</v>
      </c>
      <c r="Q8">
        <v>1</v>
      </c>
      <c r="X8">
        <v>0.3</v>
      </c>
      <c r="Y8">
        <v>239.59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0.3</v>
      </c>
      <c r="AH8">
        <v>2</v>
      </c>
      <c r="AI8">
        <v>48277297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ROW(Source!A32)</f>
        <v>32</v>
      </c>
      <c r="B9">
        <v>48277303</v>
      </c>
      <c r="C9">
        <v>48277294</v>
      </c>
      <c r="D9">
        <v>29162412</v>
      </c>
      <c r="E9">
        <v>1</v>
      </c>
      <c r="F9">
        <v>1</v>
      </c>
      <c r="G9">
        <v>1</v>
      </c>
      <c r="H9">
        <v>3</v>
      </c>
      <c r="I9" t="s">
        <v>376</v>
      </c>
      <c r="J9" t="s">
        <v>377</v>
      </c>
      <c r="K9" t="s">
        <v>378</v>
      </c>
      <c r="L9">
        <v>1358</v>
      </c>
      <c r="N9">
        <v>1010</v>
      </c>
      <c r="O9" t="s">
        <v>97</v>
      </c>
      <c r="P9" t="s">
        <v>97</v>
      </c>
      <c r="Q9">
        <v>10</v>
      </c>
      <c r="X9">
        <v>32</v>
      </c>
      <c r="Y9">
        <v>43.83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32</v>
      </c>
      <c r="AH9">
        <v>2</v>
      </c>
      <c r="AI9">
        <v>48277298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ROW(Source!A32)</f>
        <v>32</v>
      </c>
      <c r="B10">
        <v>48277304</v>
      </c>
      <c r="C10">
        <v>48277294</v>
      </c>
      <c r="D10">
        <v>29170735</v>
      </c>
      <c r="E10">
        <v>1</v>
      </c>
      <c r="F10">
        <v>1</v>
      </c>
      <c r="G10">
        <v>1</v>
      </c>
      <c r="H10">
        <v>3</v>
      </c>
      <c r="I10" t="s">
        <v>379</v>
      </c>
      <c r="J10" t="s">
        <v>380</v>
      </c>
      <c r="K10" t="s">
        <v>381</v>
      </c>
      <c r="L10">
        <v>1355</v>
      </c>
      <c r="N10">
        <v>1010</v>
      </c>
      <c r="O10" t="s">
        <v>225</v>
      </c>
      <c r="P10" t="s">
        <v>225</v>
      </c>
      <c r="Q10">
        <v>100</v>
      </c>
      <c r="X10">
        <v>0.2</v>
      </c>
      <c r="Y10">
        <v>400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0.2</v>
      </c>
      <c r="AH10">
        <v>2</v>
      </c>
      <c r="AI10">
        <v>48277299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ROW(Source!A33)</f>
        <v>33</v>
      </c>
      <c r="B11">
        <v>48277310</v>
      </c>
      <c r="C11">
        <v>48277305</v>
      </c>
      <c r="D11">
        <v>29362666</v>
      </c>
      <c r="E11">
        <v>1</v>
      </c>
      <c r="F11">
        <v>1</v>
      </c>
      <c r="G11">
        <v>1</v>
      </c>
      <c r="H11">
        <v>1</v>
      </c>
      <c r="I11" t="s">
        <v>382</v>
      </c>
      <c r="J11" t="s">
        <v>6</v>
      </c>
      <c r="K11" t="s">
        <v>383</v>
      </c>
      <c r="L11">
        <v>1369</v>
      </c>
      <c r="N11">
        <v>1013</v>
      </c>
      <c r="O11" t="s">
        <v>356</v>
      </c>
      <c r="P11" t="s">
        <v>356</v>
      </c>
      <c r="Q11">
        <v>1</v>
      </c>
      <c r="X11">
        <v>0.55000000000000004</v>
      </c>
      <c r="Y11">
        <v>0</v>
      </c>
      <c r="Z11">
        <v>0</v>
      </c>
      <c r="AA11">
        <v>0</v>
      </c>
      <c r="AB11">
        <v>279.16000000000003</v>
      </c>
      <c r="AC11">
        <v>0</v>
      </c>
      <c r="AD11">
        <v>1</v>
      </c>
      <c r="AE11">
        <v>1</v>
      </c>
      <c r="AF11" t="s">
        <v>49</v>
      </c>
      <c r="AG11">
        <v>0.75900000000000001</v>
      </c>
      <c r="AH11">
        <v>2</v>
      </c>
      <c r="AI11">
        <v>48277306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ROW(Source!A33)</f>
        <v>33</v>
      </c>
      <c r="B12">
        <v>48277311</v>
      </c>
      <c r="C12">
        <v>48277305</v>
      </c>
      <c r="D12">
        <v>29122534</v>
      </c>
      <c r="E12">
        <v>1</v>
      </c>
      <c r="F12">
        <v>1</v>
      </c>
      <c r="G12">
        <v>1</v>
      </c>
      <c r="H12">
        <v>3</v>
      </c>
      <c r="I12" t="s">
        <v>79</v>
      </c>
      <c r="J12" t="s">
        <v>82</v>
      </c>
      <c r="K12" t="s">
        <v>80</v>
      </c>
      <c r="L12">
        <v>1354</v>
      </c>
      <c r="N12">
        <v>1010</v>
      </c>
      <c r="O12" t="s">
        <v>81</v>
      </c>
      <c r="P12" t="s">
        <v>81</v>
      </c>
      <c r="Q12">
        <v>1</v>
      </c>
      <c r="X12">
        <v>2</v>
      </c>
      <c r="Y12">
        <v>66.680000000000007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2</v>
      </c>
      <c r="AH12">
        <v>2</v>
      </c>
      <c r="AI12">
        <v>48277307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ROW(Source!A33)</f>
        <v>33</v>
      </c>
      <c r="B13">
        <v>48277312</v>
      </c>
      <c r="C13">
        <v>48277305</v>
      </c>
      <c r="D13">
        <v>29171808</v>
      </c>
      <c r="E13">
        <v>1</v>
      </c>
      <c r="F13">
        <v>1</v>
      </c>
      <c r="G13">
        <v>1</v>
      </c>
      <c r="H13">
        <v>3</v>
      </c>
      <c r="I13" t="s">
        <v>384</v>
      </c>
      <c r="J13" t="s">
        <v>385</v>
      </c>
      <c r="K13" t="s">
        <v>386</v>
      </c>
      <c r="L13">
        <v>1374</v>
      </c>
      <c r="N13">
        <v>1013</v>
      </c>
      <c r="O13" t="s">
        <v>387</v>
      </c>
      <c r="P13" t="s">
        <v>387</v>
      </c>
      <c r="Q13">
        <v>1</v>
      </c>
      <c r="X13">
        <v>0.1</v>
      </c>
      <c r="Y13">
        <v>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0.1</v>
      </c>
      <c r="AH13">
        <v>2</v>
      </c>
      <c r="AI13">
        <v>48277309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ROW(Source!A36)</f>
        <v>36</v>
      </c>
      <c r="B14">
        <v>48277429</v>
      </c>
      <c r="C14">
        <v>48277416</v>
      </c>
      <c r="D14">
        <v>29361034</v>
      </c>
      <c r="E14">
        <v>1</v>
      </c>
      <c r="F14">
        <v>1</v>
      </c>
      <c r="G14">
        <v>1</v>
      </c>
      <c r="H14">
        <v>1</v>
      </c>
      <c r="I14" t="s">
        <v>388</v>
      </c>
      <c r="J14" t="s">
        <v>6</v>
      </c>
      <c r="K14" t="s">
        <v>389</v>
      </c>
      <c r="L14">
        <v>1369</v>
      </c>
      <c r="N14">
        <v>1013</v>
      </c>
      <c r="O14" t="s">
        <v>356</v>
      </c>
      <c r="P14" t="s">
        <v>356</v>
      </c>
      <c r="Q14">
        <v>1</v>
      </c>
      <c r="X14">
        <v>43.6</v>
      </c>
      <c r="Y14">
        <v>0</v>
      </c>
      <c r="Z14">
        <v>0</v>
      </c>
      <c r="AA14">
        <v>0</v>
      </c>
      <c r="AB14">
        <v>282.47000000000003</v>
      </c>
      <c r="AC14">
        <v>0</v>
      </c>
      <c r="AD14">
        <v>1</v>
      </c>
      <c r="AE14">
        <v>1</v>
      </c>
      <c r="AF14" t="s">
        <v>49</v>
      </c>
      <c r="AG14">
        <v>60.167999999999992</v>
      </c>
      <c r="AH14">
        <v>2</v>
      </c>
      <c r="AI14">
        <v>48277417</v>
      </c>
      <c r="AJ14">
        <v>15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ROW(Source!A36)</f>
        <v>36</v>
      </c>
      <c r="B15">
        <v>48277430</v>
      </c>
      <c r="C15">
        <v>48277416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40</v>
      </c>
      <c r="J15" t="s">
        <v>6</v>
      </c>
      <c r="K15" t="s">
        <v>359</v>
      </c>
      <c r="L15">
        <v>608254</v>
      </c>
      <c r="N15">
        <v>1013</v>
      </c>
      <c r="O15" t="s">
        <v>360</v>
      </c>
      <c r="P15" t="s">
        <v>360</v>
      </c>
      <c r="Q15">
        <v>1</v>
      </c>
      <c r="X15">
        <v>1.51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49</v>
      </c>
      <c r="AG15">
        <v>2.0837999999999997</v>
      </c>
      <c r="AH15">
        <v>2</v>
      </c>
      <c r="AI15">
        <v>48277418</v>
      </c>
      <c r="AJ15">
        <v>16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ROW(Source!A36)</f>
        <v>36</v>
      </c>
      <c r="B16">
        <v>48277431</v>
      </c>
      <c r="C16">
        <v>48277416</v>
      </c>
      <c r="D16">
        <v>29172362</v>
      </c>
      <c r="E16">
        <v>1</v>
      </c>
      <c r="F16">
        <v>1</v>
      </c>
      <c r="G16">
        <v>1</v>
      </c>
      <c r="H16">
        <v>2</v>
      </c>
      <c r="I16" t="s">
        <v>390</v>
      </c>
      <c r="J16" t="s">
        <v>391</v>
      </c>
      <c r="K16" t="s">
        <v>392</v>
      </c>
      <c r="L16">
        <v>1368</v>
      </c>
      <c r="N16">
        <v>1011</v>
      </c>
      <c r="O16" t="s">
        <v>364</v>
      </c>
      <c r="P16" t="s">
        <v>364</v>
      </c>
      <c r="Q16">
        <v>1</v>
      </c>
      <c r="X16">
        <v>1.51</v>
      </c>
      <c r="Y16">
        <v>0</v>
      </c>
      <c r="Z16">
        <v>134.65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49</v>
      </c>
      <c r="AG16">
        <v>2.0837999999999997</v>
      </c>
      <c r="AH16">
        <v>2</v>
      </c>
      <c r="AI16">
        <v>48277419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ROW(Source!A36)</f>
        <v>36</v>
      </c>
      <c r="B17">
        <v>48277432</v>
      </c>
      <c r="C17">
        <v>48277416</v>
      </c>
      <c r="D17">
        <v>29172657</v>
      </c>
      <c r="E17">
        <v>1</v>
      </c>
      <c r="F17">
        <v>1</v>
      </c>
      <c r="G17">
        <v>1</v>
      </c>
      <c r="H17">
        <v>2</v>
      </c>
      <c r="I17" t="s">
        <v>393</v>
      </c>
      <c r="J17" t="s">
        <v>394</v>
      </c>
      <c r="K17" t="s">
        <v>395</v>
      </c>
      <c r="L17">
        <v>1368</v>
      </c>
      <c r="N17">
        <v>1011</v>
      </c>
      <c r="O17" t="s">
        <v>364</v>
      </c>
      <c r="P17" t="s">
        <v>364</v>
      </c>
      <c r="Q17">
        <v>1</v>
      </c>
      <c r="X17">
        <v>3.4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49</v>
      </c>
      <c r="AG17">
        <v>4.6919999999999993</v>
      </c>
      <c r="AH17">
        <v>2</v>
      </c>
      <c r="AI17">
        <v>48277420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ROW(Source!A36)</f>
        <v>36</v>
      </c>
      <c r="B18">
        <v>48277433</v>
      </c>
      <c r="C18">
        <v>48277416</v>
      </c>
      <c r="D18">
        <v>29174913</v>
      </c>
      <c r="E18">
        <v>1</v>
      </c>
      <c r="F18">
        <v>1</v>
      </c>
      <c r="G18">
        <v>1</v>
      </c>
      <c r="H18">
        <v>2</v>
      </c>
      <c r="I18" t="s">
        <v>396</v>
      </c>
      <c r="J18" t="s">
        <v>397</v>
      </c>
      <c r="K18" t="s">
        <v>398</v>
      </c>
      <c r="L18">
        <v>1368</v>
      </c>
      <c r="N18">
        <v>1011</v>
      </c>
      <c r="O18" t="s">
        <v>364</v>
      </c>
      <c r="P18" t="s">
        <v>364</v>
      </c>
      <c r="Q18">
        <v>1</v>
      </c>
      <c r="X18">
        <v>1.51</v>
      </c>
      <c r="Y18">
        <v>0</v>
      </c>
      <c r="Z18">
        <v>87.17</v>
      </c>
      <c r="AA18">
        <v>11.6</v>
      </c>
      <c r="AB18">
        <v>0</v>
      </c>
      <c r="AC18">
        <v>0</v>
      </c>
      <c r="AD18">
        <v>1</v>
      </c>
      <c r="AE18">
        <v>0</v>
      </c>
      <c r="AF18" t="s">
        <v>49</v>
      </c>
      <c r="AG18">
        <v>2.0837999999999997</v>
      </c>
      <c r="AH18">
        <v>2</v>
      </c>
      <c r="AI18">
        <v>48277421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ROW(Source!A36)</f>
        <v>36</v>
      </c>
      <c r="B19">
        <v>48277434</v>
      </c>
      <c r="C19">
        <v>48277416</v>
      </c>
      <c r="D19">
        <v>29113386</v>
      </c>
      <c r="E19">
        <v>1</v>
      </c>
      <c r="F19">
        <v>1</v>
      </c>
      <c r="G19">
        <v>1</v>
      </c>
      <c r="H19">
        <v>3</v>
      </c>
      <c r="I19" t="s">
        <v>399</v>
      </c>
      <c r="J19" t="s">
        <v>400</v>
      </c>
      <c r="K19" t="s">
        <v>401</v>
      </c>
      <c r="L19">
        <v>1348</v>
      </c>
      <c r="N19">
        <v>1009</v>
      </c>
      <c r="O19" t="s">
        <v>215</v>
      </c>
      <c r="P19" t="s">
        <v>215</v>
      </c>
      <c r="Q19">
        <v>1000</v>
      </c>
      <c r="X19">
        <v>5.7999999999999996E-3</v>
      </c>
      <c r="Y19">
        <v>5000.01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5.7999999999999996E-3</v>
      </c>
      <c r="AH19">
        <v>2</v>
      </c>
      <c r="AI19">
        <v>48277422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ROW(Source!A36)</f>
        <v>36</v>
      </c>
      <c r="B20">
        <v>48277435</v>
      </c>
      <c r="C20">
        <v>48277416</v>
      </c>
      <c r="D20">
        <v>29113980</v>
      </c>
      <c r="E20">
        <v>1</v>
      </c>
      <c r="F20">
        <v>1</v>
      </c>
      <c r="G20">
        <v>1</v>
      </c>
      <c r="H20">
        <v>3</v>
      </c>
      <c r="I20" t="s">
        <v>402</v>
      </c>
      <c r="J20" t="s">
        <v>403</v>
      </c>
      <c r="K20" t="s">
        <v>404</v>
      </c>
      <c r="L20">
        <v>1346</v>
      </c>
      <c r="N20">
        <v>1009</v>
      </c>
      <c r="O20" t="s">
        <v>128</v>
      </c>
      <c r="P20" t="s">
        <v>128</v>
      </c>
      <c r="Q20">
        <v>1</v>
      </c>
      <c r="X20">
        <v>1.58</v>
      </c>
      <c r="Y20">
        <v>14.31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1.58</v>
      </c>
      <c r="AH20">
        <v>2</v>
      </c>
      <c r="AI20">
        <v>48277423</v>
      </c>
      <c r="AJ20">
        <v>21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ROW(Source!A36)</f>
        <v>36</v>
      </c>
      <c r="B21">
        <v>48277436</v>
      </c>
      <c r="C21">
        <v>48277416</v>
      </c>
      <c r="D21">
        <v>29110817</v>
      </c>
      <c r="E21">
        <v>1</v>
      </c>
      <c r="F21">
        <v>1</v>
      </c>
      <c r="G21">
        <v>1</v>
      </c>
      <c r="H21">
        <v>3</v>
      </c>
      <c r="I21" t="s">
        <v>405</v>
      </c>
      <c r="J21" t="s">
        <v>406</v>
      </c>
      <c r="K21" t="s">
        <v>407</v>
      </c>
      <c r="L21">
        <v>1346</v>
      </c>
      <c r="N21">
        <v>1009</v>
      </c>
      <c r="O21" t="s">
        <v>128</v>
      </c>
      <c r="P21" t="s">
        <v>128</v>
      </c>
      <c r="Q21">
        <v>1</v>
      </c>
      <c r="X21">
        <v>3.7999999999999999E-2</v>
      </c>
      <c r="Y21">
        <v>445.32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3.7999999999999999E-2</v>
      </c>
      <c r="AH21">
        <v>2</v>
      </c>
      <c r="AI21">
        <v>48277424</v>
      </c>
      <c r="AJ21">
        <v>22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ROW(Source!A36)</f>
        <v>36</v>
      </c>
      <c r="B22">
        <v>48277437</v>
      </c>
      <c r="C22">
        <v>48277416</v>
      </c>
      <c r="D22">
        <v>29121416</v>
      </c>
      <c r="E22">
        <v>1</v>
      </c>
      <c r="F22">
        <v>1</v>
      </c>
      <c r="G22">
        <v>1</v>
      </c>
      <c r="H22">
        <v>3</v>
      </c>
      <c r="I22" t="s">
        <v>408</v>
      </c>
      <c r="J22" t="s">
        <v>409</v>
      </c>
      <c r="K22" t="s">
        <v>410</v>
      </c>
      <c r="L22">
        <v>1355</v>
      </c>
      <c r="N22">
        <v>1010</v>
      </c>
      <c r="O22" t="s">
        <v>225</v>
      </c>
      <c r="P22" t="s">
        <v>225</v>
      </c>
      <c r="Q22">
        <v>100</v>
      </c>
      <c r="X22">
        <v>0.25</v>
      </c>
      <c r="Y22">
        <v>88.75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0.25</v>
      </c>
      <c r="AH22">
        <v>2</v>
      </c>
      <c r="AI22">
        <v>48277425</v>
      </c>
      <c r="AJ22">
        <v>24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ROW(Source!A36)</f>
        <v>36</v>
      </c>
      <c r="B23">
        <v>48277438</v>
      </c>
      <c r="C23">
        <v>48277416</v>
      </c>
      <c r="D23">
        <v>29145159</v>
      </c>
      <c r="E23">
        <v>1</v>
      </c>
      <c r="F23">
        <v>1</v>
      </c>
      <c r="G23">
        <v>1</v>
      </c>
      <c r="H23">
        <v>3</v>
      </c>
      <c r="I23" t="s">
        <v>411</v>
      </c>
      <c r="J23" t="s">
        <v>412</v>
      </c>
      <c r="K23" t="s">
        <v>413</v>
      </c>
      <c r="L23">
        <v>1339</v>
      </c>
      <c r="N23">
        <v>1007</v>
      </c>
      <c r="O23" t="s">
        <v>191</v>
      </c>
      <c r="P23" t="s">
        <v>191</v>
      </c>
      <c r="Q23">
        <v>1</v>
      </c>
      <c r="X23">
        <v>4.0000000000000001E-3</v>
      </c>
      <c r="Y23">
        <v>600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4.0000000000000001E-3</v>
      </c>
      <c r="AH23">
        <v>2</v>
      </c>
      <c r="AI23">
        <v>48277426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ROW(Source!A36)</f>
        <v>36</v>
      </c>
      <c r="B24">
        <v>48277439</v>
      </c>
      <c r="C24">
        <v>48277416</v>
      </c>
      <c r="D24">
        <v>29165774</v>
      </c>
      <c r="E24">
        <v>1</v>
      </c>
      <c r="F24">
        <v>1</v>
      </c>
      <c r="G24">
        <v>1</v>
      </c>
      <c r="H24">
        <v>3</v>
      </c>
      <c r="I24" t="s">
        <v>95</v>
      </c>
      <c r="J24" t="s">
        <v>98</v>
      </c>
      <c r="K24" t="s">
        <v>96</v>
      </c>
      <c r="L24">
        <v>1358</v>
      </c>
      <c r="N24">
        <v>1010</v>
      </c>
      <c r="O24" t="s">
        <v>97</v>
      </c>
      <c r="P24" t="s">
        <v>97</v>
      </c>
      <c r="Q24">
        <v>10</v>
      </c>
      <c r="X24">
        <v>0.6</v>
      </c>
      <c r="Y24">
        <v>40.9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0.6</v>
      </c>
      <c r="AH24">
        <v>2</v>
      </c>
      <c r="AI24">
        <v>48277427</v>
      </c>
      <c r="AJ24">
        <v>26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ROW(Source!A36)</f>
        <v>36</v>
      </c>
      <c r="B25">
        <v>48277440</v>
      </c>
      <c r="C25">
        <v>48277416</v>
      </c>
      <c r="D25">
        <v>29171808</v>
      </c>
      <c r="E25">
        <v>1</v>
      </c>
      <c r="F25">
        <v>1</v>
      </c>
      <c r="G25">
        <v>1</v>
      </c>
      <c r="H25">
        <v>3</v>
      </c>
      <c r="I25" t="s">
        <v>384</v>
      </c>
      <c r="J25" t="s">
        <v>385</v>
      </c>
      <c r="K25" t="s">
        <v>386</v>
      </c>
      <c r="L25">
        <v>1374</v>
      </c>
      <c r="N25">
        <v>1013</v>
      </c>
      <c r="O25" t="s">
        <v>387</v>
      </c>
      <c r="P25" t="s">
        <v>387</v>
      </c>
      <c r="Q25">
        <v>1</v>
      </c>
      <c r="X25">
        <v>8.1999999999999993</v>
      </c>
      <c r="Y25">
        <v>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8.1999999999999993</v>
      </c>
      <c r="AH25">
        <v>2</v>
      </c>
      <c r="AI25">
        <v>48277428</v>
      </c>
      <c r="AJ25">
        <v>28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ROW(Source!A39)</f>
        <v>39</v>
      </c>
      <c r="B26">
        <v>48276674</v>
      </c>
      <c r="C26">
        <v>48276671</v>
      </c>
      <c r="D26">
        <v>18411771</v>
      </c>
      <c r="E26">
        <v>1</v>
      </c>
      <c r="F26">
        <v>1</v>
      </c>
      <c r="G26">
        <v>1</v>
      </c>
      <c r="H26">
        <v>1</v>
      </c>
      <c r="I26" t="s">
        <v>414</v>
      </c>
      <c r="J26" t="s">
        <v>6</v>
      </c>
      <c r="K26" t="s">
        <v>415</v>
      </c>
      <c r="L26">
        <v>1369</v>
      </c>
      <c r="N26">
        <v>1013</v>
      </c>
      <c r="O26" t="s">
        <v>356</v>
      </c>
      <c r="P26" t="s">
        <v>356</v>
      </c>
      <c r="Q26">
        <v>1</v>
      </c>
      <c r="X26">
        <v>40</v>
      </c>
      <c r="Y26">
        <v>0</v>
      </c>
      <c r="Z26">
        <v>0</v>
      </c>
      <c r="AA26">
        <v>0</v>
      </c>
      <c r="AB26">
        <v>218.7</v>
      </c>
      <c r="AC26">
        <v>0</v>
      </c>
      <c r="AD26">
        <v>1</v>
      </c>
      <c r="AE26">
        <v>1</v>
      </c>
      <c r="AF26" t="s">
        <v>34</v>
      </c>
      <c r="AG26">
        <v>63.47999999999999</v>
      </c>
      <c r="AH26">
        <v>2</v>
      </c>
      <c r="AI26">
        <v>48276672</v>
      </c>
      <c r="AJ26">
        <v>29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ROW(Source!A39)</f>
        <v>39</v>
      </c>
      <c r="B27">
        <v>48276675</v>
      </c>
      <c r="C27">
        <v>48276671</v>
      </c>
      <c r="D27">
        <v>29149430</v>
      </c>
      <c r="E27">
        <v>1</v>
      </c>
      <c r="F27">
        <v>1</v>
      </c>
      <c r="G27">
        <v>1</v>
      </c>
      <c r="H27">
        <v>3</v>
      </c>
      <c r="I27" t="s">
        <v>416</v>
      </c>
      <c r="J27" t="s">
        <v>417</v>
      </c>
      <c r="K27" t="s">
        <v>418</v>
      </c>
      <c r="L27">
        <v>1339</v>
      </c>
      <c r="N27">
        <v>1007</v>
      </c>
      <c r="O27" t="s">
        <v>191</v>
      </c>
      <c r="P27" t="s">
        <v>191</v>
      </c>
      <c r="Q27">
        <v>1</v>
      </c>
      <c r="X27">
        <v>15</v>
      </c>
      <c r="Y27">
        <v>131.9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15</v>
      </c>
      <c r="AH27">
        <v>2</v>
      </c>
      <c r="AI27">
        <v>48276673</v>
      </c>
      <c r="AJ27">
        <v>30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ROW(Source!A40)</f>
        <v>40</v>
      </c>
      <c r="B28">
        <v>48276679</v>
      </c>
      <c r="C28">
        <v>48276676</v>
      </c>
      <c r="D28">
        <v>18411771</v>
      </c>
      <c r="E28">
        <v>1</v>
      </c>
      <c r="F28">
        <v>1</v>
      </c>
      <c r="G28">
        <v>1</v>
      </c>
      <c r="H28">
        <v>1</v>
      </c>
      <c r="I28" t="s">
        <v>414</v>
      </c>
      <c r="J28" t="s">
        <v>6</v>
      </c>
      <c r="K28" t="s">
        <v>415</v>
      </c>
      <c r="L28">
        <v>1369</v>
      </c>
      <c r="N28">
        <v>1013</v>
      </c>
      <c r="O28" t="s">
        <v>356</v>
      </c>
      <c r="P28" t="s">
        <v>356</v>
      </c>
      <c r="Q28">
        <v>1</v>
      </c>
      <c r="X28">
        <v>5.47</v>
      </c>
      <c r="Y28">
        <v>0</v>
      </c>
      <c r="Z28">
        <v>0</v>
      </c>
      <c r="AA28">
        <v>0</v>
      </c>
      <c r="AB28">
        <v>218.7</v>
      </c>
      <c r="AC28">
        <v>0</v>
      </c>
      <c r="AD28">
        <v>1</v>
      </c>
      <c r="AE28">
        <v>1</v>
      </c>
      <c r="AF28" t="s">
        <v>34</v>
      </c>
      <c r="AG28">
        <v>8.680889999999998</v>
      </c>
      <c r="AH28">
        <v>2</v>
      </c>
      <c r="AI28">
        <v>48276677</v>
      </c>
      <c r="AJ28">
        <v>31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ROW(Source!A40)</f>
        <v>40</v>
      </c>
      <c r="B29">
        <v>48276680</v>
      </c>
      <c r="C29">
        <v>48276676</v>
      </c>
      <c r="D29">
        <v>29149430</v>
      </c>
      <c r="E29">
        <v>1</v>
      </c>
      <c r="F29">
        <v>1</v>
      </c>
      <c r="G29">
        <v>1</v>
      </c>
      <c r="H29">
        <v>3</v>
      </c>
      <c r="I29" t="s">
        <v>416</v>
      </c>
      <c r="J29" t="s">
        <v>417</v>
      </c>
      <c r="K29" t="s">
        <v>418</v>
      </c>
      <c r="L29">
        <v>1339</v>
      </c>
      <c r="N29">
        <v>1007</v>
      </c>
      <c r="O29" t="s">
        <v>191</v>
      </c>
      <c r="P29" t="s">
        <v>191</v>
      </c>
      <c r="Q29">
        <v>1</v>
      </c>
      <c r="X29">
        <v>5</v>
      </c>
      <c r="Y29">
        <v>131.9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5</v>
      </c>
      <c r="AH29">
        <v>2</v>
      </c>
      <c r="AI29">
        <v>48276678</v>
      </c>
      <c r="AJ29">
        <v>32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ROW(Source!A41)</f>
        <v>41</v>
      </c>
      <c r="B30">
        <v>48276687</v>
      </c>
      <c r="C30">
        <v>48276681</v>
      </c>
      <c r="D30">
        <v>18410631</v>
      </c>
      <c r="E30">
        <v>1</v>
      </c>
      <c r="F30">
        <v>1</v>
      </c>
      <c r="G30">
        <v>1</v>
      </c>
      <c r="H30">
        <v>1</v>
      </c>
      <c r="I30" t="s">
        <v>368</v>
      </c>
      <c r="J30" t="s">
        <v>6</v>
      </c>
      <c r="K30" t="s">
        <v>369</v>
      </c>
      <c r="L30">
        <v>1369</v>
      </c>
      <c r="N30">
        <v>1013</v>
      </c>
      <c r="O30" t="s">
        <v>356</v>
      </c>
      <c r="P30" t="s">
        <v>356</v>
      </c>
      <c r="Q30">
        <v>1</v>
      </c>
      <c r="X30">
        <v>5.99</v>
      </c>
      <c r="Y30">
        <v>0</v>
      </c>
      <c r="Z30">
        <v>0</v>
      </c>
      <c r="AA30">
        <v>0</v>
      </c>
      <c r="AB30">
        <v>209.13</v>
      </c>
      <c r="AC30">
        <v>0</v>
      </c>
      <c r="AD30">
        <v>1</v>
      </c>
      <c r="AE30">
        <v>1</v>
      </c>
      <c r="AF30" t="s">
        <v>34</v>
      </c>
      <c r="AG30">
        <v>9.5061299999999989</v>
      </c>
      <c r="AH30">
        <v>2</v>
      </c>
      <c r="AI30">
        <v>48276682</v>
      </c>
      <c r="AJ30">
        <v>33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ROW(Source!A41)</f>
        <v>41</v>
      </c>
      <c r="B31">
        <v>48276688</v>
      </c>
      <c r="C31">
        <v>48276681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40</v>
      </c>
      <c r="J31" t="s">
        <v>6</v>
      </c>
      <c r="K31" t="s">
        <v>359</v>
      </c>
      <c r="L31">
        <v>608254</v>
      </c>
      <c r="N31">
        <v>1013</v>
      </c>
      <c r="O31" t="s">
        <v>360</v>
      </c>
      <c r="P31" t="s">
        <v>360</v>
      </c>
      <c r="Q31">
        <v>1</v>
      </c>
      <c r="X31">
        <v>2.74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33</v>
      </c>
      <c r="AG31">
        <v>4.7264999999999997</v>
      </c>
      <c r="AH31">
        <v>2</v>
      </c>
      <c r="AI31">
        <v>48276683</v>
      </c>
      <c r="AJ31">
        <v>34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ROW(Source!A41)</f>
        <v>41</v>
      </c>
      <c r="B32">
        <v>48276689</v>
      </c>
      <c r="C32">
        <v>48276681</v>
      </c>
      <c r="D32">
        <v>29173290</v>
      </c>
      <c r="E32">
        <v>1</v>
      </c>
      <c r="F32">
        <v>1</v>
      </c>
      <c r="G32">
        <v>1</v>
      </c>
      <c r="H32">
        <v>2</v>
      </c>
      <c r="I32" t="s">
        <v>419</v>
      </c>
      <c r="J32" t="s">
        <v>420</v>
      </c>
      <c r="K32" t="s">
        <v>421</v>
      </c>
      <c r="L32">
        <v>1368</v>
      </c>
      <c r="N32">
        <v>1011</v>
      </c>
      <c r="O32" t="s">
        <v>364</v>
      </c>
      <c r="P32" t="s">
        <v>364</v>
      </c>
      <c r="Q32">
        <v>1</v>
      </c>
      <c r="X32">
        <v>2.74</v>
      </c>
      <c r="Y32">
        <v>0</v>
      </c>
      <c r="Z32">
        <v>110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33</v>
      </c>
      <c r="AG32">
        <v>4.7264999999999997</v>
      </c>
      <c r="AH32">
        <v>2</v>
      </c>
      <c r="AI32">
        <v>48276684</v>
      </c>
      <c r="AJ32">
        <v>35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ROW(Source!A41)</f>
        <v>41</v>
      </c>
      <c r="B33">
        <v>48276690</v>
      </c>
      <c r="C33">
        <v>48276681</v>
      </c>
      <c r="D33">
        <v>29150040</v>
      </c>
      <c r="E33">
        <v>1</v>
      </c>
      <c r="F33">
        <v>1</v>
      </c>
      <c r="G33">
        <v>1</v>
      </c>
      <c r="H33">
        <v>3</v>
      </c>
      <c r="I33" t="s">
        <v>422</v>
      </c>
      <c r="J33" t="s">
        <v>423</v>
      </c>
      <c r="K33" t="s">
        <v>424</v>
      </c>
      <c r="L33">
        <v>1339</v>
      </c>
      <c r="N33">
        <v>1007</v>
      </c>
      <c r="O33" t="s">
        <v>191</v>
      </c>
      <c r="P33" t="s">
        <v>191</v>
      </c>
      <c r="Q33">
        <v>1</v>
      </c>
      <c r="X33">
        <v>10</v>
      </c>
      <c r="Y33">
        <v>2.44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10</v>
      </c>
      <c r="AH33">
        <v>2</v>
      </c>
      <c r="AI33">
        <v>48276685</v>
      </c>
      <c r="AJ33">
        <v>36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ROW(Source!A41)</f>
        <v>41</v>
      </c>
      <c r="B34">
        <v>48276691</v>
      </c>
      <c r="C34">
        <v>48276681</v>
      </c>
      <c r="D34">
        <v>29151535</v>
      </c>
      <c r="E34">
        <v>1</v>
      </c>
      <c r="F34">
        <v>1</v>
      </c>
      <c r="G34">
        <v>1</v>
      </c>
      <c r="H34">
        <v>3</v>
      </c>
      <c r="I34" t="s">
        <v>486</v>
      </c>
      <c r="J34" t="s">
        <v>487</v>
      </c>
      <c r="K34" t="s">
        <v>488</v>
      </c>
      <c r="L34">
        <v>1346</v>
      </c>
      <c r="N34">
        <v>1009</v>
      </c>
      <c r="O34" t="s">
        <v>128</v>
      </c>
      <c r="P34" t="s">
        <v>128</v>
      </c>
      <c r="Q34">
        <v>1</v>
      </c>
      <c r="X34">
        <v>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6</v>
      </c>
      <c r="AG34">
        <v>2</v>
      </c>
      <c r="AH34">
        <v>3</v>
      </c>
      <c r="AI34">
        <v>-1</v>
      </c>
      <c r="AJ34" t="s">
        <v>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ROW(Source!A77)</f>
        <v>77</v>
      </c>
      <c r="B35">
        <v>48276698</v>
      </c>
      <c r="C35">
        <v>48276693</v>
      </c>
      <c r="D35">
        <v>29362762</v>
      </c>
      <c r="E35">
        <v>1</v>
      </c>
      <c r="F35">
        <v>1</v>
      </c>
      <c r="G35">
        <v>1</v>
      </c>
      <c r="H35">
        <v>1</v>
      </c>
      <c r="I35" t="s">
        <v>425</v>
      </c>
      <c r="J35" t="s">
        <v>6</v>
      </c>
      <c r="K35" t="s">
        <v>426</v>
      </c>
      <c r="L35">
        <v>1369</v>
      </c>
      <c r="N35">
        <v>1013</v>
      </c>
      <c r="O35" t="s">
        <v>356</v>
      </c>
      <c r="P35" t="s">
        <v>356</v>
      </c>
      <c r="Q35">
        <v>1</v>
      </c>
      <c r="X35">
        <v>5.3</v>
      </c>
      <c r="Y35">
        <v>0</v>
      </c>
      <c r="Z35">
        <v>0</v>
      </c>
      <c r="AA35">
        <v>0</v>
      </c>
      <c r="AB35">
        <v>237.81</v>
      </c>
      <c r="AC35">
        <v>0</v>
      </c>
      <c r="AD35">
        <v>1</v>
      </c>
      <c r="AE35">
        <v>1</v>
      </c>
      <c r="AF35" t="s">
        <v>49</v>
      </c>
      <c r="AG35">
        <v>7.3139999999999992</v>
      </c>
      <c r="AH35">
        <v>2</v>
      </c>
      <c r="AI35">
        <v>48276694</v>
      </c>
      <c r="AJ35">
        <v>38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ROW(Source!A77)</f>
        <v>77</v>
      </c>
      <c r="B36">
        <v>48276699</v>
      </c>
      <c r="C36">
        <v>48276693</v>
      </c>
      <c r="D36">
        <v>38771289</v>
      </c>
      <c r="E36">
        <v>1</v>
      </c>
      <c r="F36">
        <v>1</v>
      </c>
      <c r="G36">
        <v>1</v>
      </c>
      <c r="H36">
        <v>2</v>
      </c>
      <c r="I36" t="s">
        <v>396</v>
      </c>
      <c r="J36" t="s">
        <v>427</v>
      </c>
      <c r="K36" t="s">
        <v>398</v>
      </c>
      <c r="L36">
        <v>1368</v>
      </c>
      <c r="N36">
        <v>1011</v>
      </c>
      <c r="O36" t="s">
        <v>364</v>
      </c>
      <c r="P36" t="s">
        <v>364</v>
      </c>
      <c r="Q36">
        <v>1</v>
      </c>
      <c r="X36">
        <v>3.9</v>
      </c>
      <c r="Y36">
        <v>0</v>
      </c>
      <c r="Z36">
        <v>87.17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49</v>
      </c>
      <c r="AG36">
        <v>5.3819999999999997</v>
      </c>
      <c r="AH36">
        <v>2</v>
      </c>
      <c r="AI36">
        <v>48276695</v>
      </c>
      <c r="AJ36">
        <v>39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ROW(Source!A77)</f>
        <v>77</v>
      </c>
      <c r="B37">
        <v>48276700</v>
      </c>
      <c r="C37">
        <v>48276693</v>
      </c>
      <c r="D37">
        <v>38894737</v>
      </c>
      <c r="E37">
        <v>1</v>
      </c>
      <c r="F37">
        <v>1</v>
      </c>
      <c r="G37">
        <v>1</v>
      </c>
      <c r="H37">
        <v>3</v>
      </c>
      <c r="I37" t="s">
        <v>384</v>
      </c>
      <c r="J37" t="s">
        <v>385</v>
      </c>
      <c r="K37" t="s">
        <v>386</v>
      </c>
      <c r="L37">
        <v>1374</v>
      </c>
      <c r="N37">
        <v>1013</v>
      </c>
      <c r="O37" t="s">
        <v>387</v>
      </c>
      <c r="P37" t="s">
        <v>387</v>
      </c>
      <c r="Q37">
        <v>1</v>
      </c>
      <c r="X37">
        <v>1.02</v>
      </c>
      <c r="Y37">
        <v>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1.02</v>
      </c>
      <c r="AH37">
        <v>2</v>
      </c>
      <c r="AI37">
        <v>48276696</v>
      </c>
      <c r="AJ37">
        <v>41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ROW(Source!A79)</f>
        <v>79</v>
      </c>
      <c r="B38">
        <v>48277445</v>
      </c>
      <c r="C38">
        <v>48276702</v>
      </c>
      <c r="D38">
        <v>29362762</v>
      </c>
      <c r="E38">
        <v>1</v>
      </c>
      <c r="F38">
        <v>1</v>
      </c>
      <c r="G38">
        <v>1</v>
      </c>
      <c r="H38">
        <v>1</v>
      </c>
      <c r="I38" t="s">
        <v>425</v>
      </c>
      <c r="J38" t="s">
        <v>6</v>
      </c>
      <c r="K38" t="s">
        <v>426</v>
      </c>
      <c r="L38">
        <v>1369</v>
      </c>
      <c r="N38">
        <v>1013</v>
      </c>
      <c r="O38" t="s">
        <v>356</v>
      </c>
      <c r="P38" t="s">
        <v>356</v>
      </c>
      <c r="Q38">
        <v>1</v>
      </c>
      <c r="X38">
        <v>17.440000000000001</v>
      </c>
      <c r="Y38">
        <v>0</v>
      </c>
      <c r="Z38">
        <v>0</v>
      </c>
      <c r="AA38">
        <v>0</v>
      </c>
      <c r="AB38">
        <v>289.08</v>
      </c>
      <c r="AC38">
        <v>0</v>
      </c>
      <c r="AD38">
        <v>1</v>
      </c>
      <c r="AE38">
        <v>1</v>
      </c>
      <c r="AF38" t="s">
        <v>49</v>
      </c>
      <c r="AG38">
        <v>24.0672</v>
      </c>
      <c r="AH38">
        <v>2</v>
      </c>
      <c r="AI38">
        <v>48277445</v>
      </c>
      <c r="AJ38">
        <v>42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ROW(Source!A79)</f>
        <v>79</v>
      </c>
      <c r="B39">
        <v>48277446</v>
      </c>
      <c r="C39">
        <v>48276702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40</v>
      </c>
      <c r="J39" t="s">
        <v>6</v>
      </c>
      <c r="K39" t="s">
        <v>359</v>
      </c>
      <c r="L39">
        <v>608254</v>
      </c>
      <c r="N39">
        <v>1013</v>
      </c>
      <c r="O39" t="s">
        <v>360</v>
      </c>
      <c r="P39" t="s">
        <v>360</v>
      </c>
      <c r="Q39">
        <v>1</v>
      </c>
      <c r="X39">
        <v>1.32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49</v>
      </c>
      <c r="AG39">
        <v>1.8215999999999999</v>
      </c>
      <c r="AH39">
        <v>2</v>
      </c>
      <c r="AI39">
        <v>48277446</v>
      </c>
      <c r="AJ39">
        <v>43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ROW(Source!A79)</f>
        <v>79</v>
      </c>
      <c r="B40">
        <v>48277447</v>
      </c>
      <c r="C40">
        <v>48276702</v>
      </c>
      <c r="D40">
        <v>29172362</v>
      </c>
      <c r="E40">
        <v>1</v>
      </c>
      <c r="F40">
        <v>1</v>
      </c>
      <c r="G40">
        <v>1</v>
      </c>
      <c r="H40">
        <v>2</v>
      </c>
      <c r="I40" t="s">
        <v>390</v>
      </c>
      <c r="J40" t="s">
        <v>391</v>
      </c>
      <c r="K40" t="s">
        <v>392</v>
      </c>
      <c r="L40">
        <v>1368</v>
      </c>
      <c r="N40">
        <v>1011</v>
      </c>
      <c r="O40" t="s">
        <v>364</v>
      </c>
      <c r="P40" t="s">
        <v>364</v>
      </c>
      <c r="Q40">
        <v>1</v>
      </c>
      <c r="X40">
        <v>1.32</v>
      </c>
      <c r="Y40">
        <v>0</v>
      </c>
      <c r="Z40">
        <v>134.65</v>
      </c>
      <c r="AA40">
        <v>13.5</v>
      </c>
      <c r="AB40">
        <v>0</v>
      </c>
      <c r="AC40">
        <v>0</v>
      </c>
      <c r="AD40">
        <v>1</v>
      </c>
      <c r="AE40">
        <v>0</v>
      </c>
      <c r="AF40" t="s">
        <v>49</v>
      </c>
      <c r="AG40">
        <v>1.8215999999999999</v>
      </c>
      <c r="AH40">
        <v>2</v>
      </c>
      <c r="AI40">
        <v>48277447</v>
      </c>
      <c r="AJ40">
        <v>44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ROW(Source!A79)</f>
        <v>79</v>
      </c>
      <c r="B41">
        <v>48277448</v>
      </c>
      <c r="C41">
        <v>48276702</v>
      </c>
      <c r="D41">
        <v>29172498</v>
      </c>
      <c r="E41">
        <v>1</v>
      </c>
      <c r="F41">
        <v>1</v>
      </c>
      <c r="G41">
        <v>1</v>
      </c>
      <c r="H41">
        <v>2</v>
      </c>
      <c r="I41" t="s">
        <v>428</v>
      </c>
      <c r="J41" t="s">
        <v>429</v>
      </c>
      <c r="K41" t="s">
        <v>430</v>
      </c>
      <c r="L41">
        <v>1368</v>
      </c>
      <c r="N41">
        <v>1011</v>
      </c>
      <c r="O41" t="s">
        <v>364</v>
      </c>
      <c r="P41" t="s">
        <v>364</v>
      </c>
      <c r="Q41">
        <v>1</v>
      </c>
      <c r="X41">
        <v>3.97</v>
      </c>
      <c r="Y41">
        <v>0</v>
      </c>
      <c r="Z41">
        <v>2.37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49</v>
      </c>
      <c r="AG41">
        <v>5.4786000000000001</v>
      </c>
      <c r="AH41">
        <v>2</v>
      </c>
      <c r="AI41">
        <v>48277448</v>
      </c>
      <c r="AJ41">
        <v>45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ROW(Source!A79)</f>
        <v>79</v>
      </c>
      <c r="B42">
        <v>48277449</v>
      </c>
      <c r="C42">
        <v>48276702</v>
      </c>
      <c r="D42">
        <v>29172516</v>
      </c>
      <c r="E42">
        <v>1</v>
      </c>
      <c r="F42">
        <v>1</v>
      </c>
      <c r="G42">
        <v>1</v>
      </c>
      <c r="H42">
        <v>2</v>
      </c>
      <c r="I42" t="s">
        <v>431</v>
      </c>
      <c r="J42" t="s">
        <v>432</v>
      </c>
      <c r="K42" t="s">
        <v>433</v>
      </c>
      <c r="L42">
        <v>1368</v>
      </c>
      <c r="N42">
        <v>1011</v>
      </c>
      <c r="O42" t="s">
        <v>364</v>
      </c>
      <c r="P42" t="s">
        <v>364</v>
      </c>
      <c r="Q42">
        <v>1</v>
      </c>
      <c r="X42">
        <v>3.97</v>
      </c>
      <c r="Y42">
        <v>0</v>
      </c>
      <c r="Z42">
        <v>6.9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49</v>
      </c>
      <c r="AG42">
        <v>5.4786000000000001</v>
      </c>
      <c r="AH42">
        <v>2</v>
      </c>
      <c r="AI42">
        <v>48277449</v>
      </c>
      <c r="AJ42">
        <v>46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ROW(Source!A79)</f>
        <v>79</v>
      </c>
      <c r="B43">
        <v>48277450</v>
      </c>
      <c r="C43">
        <v>48276702</v>
      </c>
      <c r="D43">
        <v>29174913</v>
      </c>
      <c r="E43">
        <v>1</v>
      </c>
      <c r="F43">
        <v>1</v>
      </c>
      <c r="G43">
        <v>1</v>
      </c>
      <c r="H43">
        <v>2</v>
      </c>
      <c r="I43" t="s">
        <v>396</v>
      </c>
      <c r="J43" t="s">
        <v>397</v>
      </c>
      <c r="K43" t="s">
        <v>398</v>
      </c>
      <c r="L43">
        <v>1368</v>
      </c>
      <c r="N43">
        <v>1011</v>
      </c>
      <c r="O43" t="s">
        <v>364</v>
      </c>
      <c r="P43" t="s">
        <v>364</v>
      </c>
      <c r="Q43">
        <v>1</v>
      </c>
      <c r="X43">
        <v>1.32</v>
      </c>
      <c r="Y43">
        <v>0</v>
      </c>
      <c r="Z43">
        <v>87.17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49</v>
      </c>
      <c r="AG43">
        <v>1.8215999999999999</v>
      </c>
      <c r="AH43">
        <v>2</v>
      </c>
      <c r="AI43">
        <v>48277450</v>
      </c>
      <c r="AJ43">
        <v>47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ROW(Source!A79)</f>
        <v>79</v>
      </c>
      <c r="B44">
        <v>48277451</v>
      </c>
      <c r="C44">
        <v>48276702</v>
      </c>
      <c r="D44">
        <v>29113345</v>
      </c>
      <c r="E44">
        <v>1</v>
      </c>
      <c r="F44">
        <v>1</v>
      </c>
      <c r="G44">
        <v>1</v>
      </c>
      <c r="H44">
        <v>3</v>
      </c>
      <c r="I44" t="s">
        <v>434</v>
      </c>
      <c r="J44" t="s">
        <v>435</v>
      </c>
      <c r="K44" t="s">
        <v>436</v>
      </c>
      <c r="L44">
        <v>1348</v>
      </c>
      <c r="N44">
        <v>1009</v>
      </c>
      <c r="O44" t="s">
        <v>215</v>
      </c>
      <c r="P44" t="s">
        <v>215</v>
      </c>
      <c r="Q44">
        <v>1000</v>
      </c>
      <c r="X44">
        <v>0.01</v>
      </c>
      <c r="Y44">
        <v>5763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0.01</v>
      </c>
      <c r="AH44">
        <v>2</v>
      </c>
      <c r="AI44">
        <v>48277451</v>
      </c>
      <c r="AJ44">
        <v>48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ROW(Source!A79)</f>
        <v>79</v>
      </c>
      <c r="B45">
        <v>48277452</v>
      </c>
      <c r="C45">
        <v>48276702</v>
      </c>
      <c r="D45">
        <v>29113386</v>
      </c>
      <c r="E45">
        <v>1</v>
      </c>
      <c r="F45">
        <v>1</v>
      </c>
      <c r="G45">
        <v>1</v>
      </c>
      <c r="H45">
        <v>3</v>
      </c>
      <c r="I45" t="s">
        <v>399</v>
      </c>
      <c r="J45" t="s">
        <v>400</v>
      </c>
      <c r="K45" t="s">
        <v>401</v>
      </c>
      <c r="L45">
        <v>1348</v>
      </c>
      <c r="N45">
        <v>1009</v>
      </c>
      <c r="O45" t="s">
        <v>215</v>
      </c>
      <c r="P45" t="s">
        <v>215</v>
      </c>
      <c r="Q45">
        <v>1000</v>
      </c>
      <c r="X45">
        <v>1E-3</v>
      </c>
      <c r="Y45">
        <v>5000.01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1E-3</v>
      </c>
      <c r="AH45">
        <v>2</v>
      </c>
      <c r="AI45">
        <v>48277452</v>
      </c>
      <c r="AJ45">
        <v>49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ROW(Source!A79)</f>
        <v>79</v>
      </c>
      <c r="B46">
        <v>48277453</v>
      </c>
      <c r="C46">
        <v>48276702</v>
      </c>
      <c r="D46">
        <v>29110426</v>
      </c>
      <c r="E46">
        <v>1</v>
      </c>
      <c r="F46">
        <v>1</v>
      </c>
      <c r="G46">
        <v>1</v>
      </c>
      <c r="H46">
        <v>3</v>
      </c>
      <c r="I46" t="s">
        <v>437</v>
      </c>
      <c r="J46" t="s">
        <v>438</v>
      </c>
      <c r="K46" t="s">
        <v>439</v>
      </c>
      <c r="L46">
        <v>1346</v>
      </c>
      <c r="N46">
        <v>1009</v>
      </c>
      <c r="O46" t="s">
        <v>128</v>
      </c>
      <c r="P46" t="s">
        <v>128</v>
      </c>
      <c r="Q46">
        <v>1</v>
      </c>
      <c r="X46">
        <v>0.25</v>
      </c>
      <c r="Y46">
        <v>28.67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0.25</v>
      </c>
      <c r="AH46">
        <v>2</v>
      </c>
      <c r="AI46">
        <v>48277453</v>
      </c>
      <c r="AJ46">
        <v>50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ROW(Source!A79)</f>
        <v>79</v>
      </c>
      <c r="B47">
        <v>48277454</v>
      </c>
      <c r="C47">
        <v>48276702</v>
      </c>
      <c r="D47">
        <v>29110793</v>
      </c>
      <c r="E47">
        <v>1</v>
      </c>
      <c r="F47">
        <v>1</v>
      </c>
      <c r="G47">
        <v>1</v>
      </c>
      <c r="H47">
        <v>3</v>
      </c>
      <c r="I47" t="s">
        <v>440</v>
      </c>
      <c r="J47" t="s">
        <v>441</v>
      </c>
      <c r="K47" t="s">
        <v>442</v>
      </c>
      <c r="L47">
        <v>1308</v>
      </c>
      <c r="N47">
        <v>1003</v>
      </c>
      <c r="O47" t="s">
        <v>90</v>
      </c>
      <c r="P47" t="s">
        <v>90</v>
      </c>
      <c r="Q47">
        <v>100</v>
      </c>
      <c r="X47">
        <v>9.5999999999999992E-3</v>
      </c>
      <c r="Y47">
        <v>120.36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9.5999999999999992E-3</v>
      </c>
      <c r="AH47">
        <v>2</v>
      </c>
      <c r="AI47">
        <v>48277454</v>
      </c>
      <c r="AJ47">
        <v>51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ROW(Source!A79)</f>
        <v>79</v>
      </c>
      <c r="B48">
        <v>48277455</v>
      </c>
      <c r="C48">
        <v>48276702</v>
      </c>
      <c r="D48">
        <v>29122430</v>
      </c>
      <c r="E48">
        <v>1</v>
      </c>
      <c r="F48">
        <v>1</v>
      </c>
      <c r="G48">
        <v>1</v>
      </c>
      <c r="H48">
        <v>3</v>
      </c>
      <c r="I48" t="s">
        <v>443</v>
      </c>
      <c r="J48" t="s">
        <v>444</v>
      </c>
      <c r="K48" t="s">
        <v>445</v>
      </c>
      <c r="L48">
        <v>1348</v>
      </c>
      <c r="N48">
        <v>1009</v>
      </c>
      <c r="O48" t="s">
        <v>215</v>
      </c>
      <c r="P48" t="s">
        <v>215</v>
      </c>
      <c r="Q48">
        <v>1000</v>
      </c>
      <c r="X48">
        <v>6.0000000000000002E-5</v>
      </c>
      <c r="Y48">
        <v>9073.89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6.0000000000000002E-5</v>
      </c>
      <c r="AH48">
        <v>2</v>
      </c>
      <c r="AI48">
        <v>48277455</v>
      </c>
      <c r="AJ48">
        <v>52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ROW(Source!A79)</f>
        <v>79</v>
      </c>
      <c r="B49">
        <v>48277456</v>
      </c>
      <c r="C49">
        <v>48276702</v>
      </c>
      <c r="D49">
        <v>29171808</v>
      </c>
      <c r="E49">
        <v>1</v>
      </c>
      <c r="F49">
        <v>1</v>
      </c>
      <c r="G49">
        <v>1</v>
      </c>
      <c r="H49">
        <v>3</v>
      </c>
      <c r="I49" t="s">
        <v>384</v>
      </c>
      <c r="J49" t="s">
        <v>385</v>
      </c>
      <c r="K49" t="s">
        <v>386</v>
      </c>
      <c r="L49">
        <v>1374</v>
      </c>
      <c r="N49">
        <v>1013</v>
      </c>
      <c r="O49" t="s">
        <v>387</v>
      </c>
      <c r="P49" t="s">
        <v>387</v>
      </c>
      <c r="Q49">
        <v>1</v>
      </c>
      <c r="X49">
        <v>3.36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3.36</v>
      </c>
      <c r="AH49">
        <v>2</v>
      </c>
      <c r="AI49">
        <v>48277456</v>
      </c>
      <c r="AJ49">
        <v>53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ROW(Source!A80)</f>
        <v>80</v>
      </c>
      <c r="B50">
        <v>48277457</v>
      </c>
      <c r="C50">
        <v>48276727</v>
      </c>
      <c r="D50">
        <v>29362762</v>
      </c>
      <c r="E50">
        <v>1</v>
      </c>
      <c r="F50">
        <v>1</v>
      </c>
      <c r="G50">
        <v>1</v>
      </c>
      <c r="H50">
        <v>1</v>
      </c>
      <c r="I50" t="s">
        <v>425</v>
      </c>
      <c r="J50" t="s">
        <v>6</v>
      </c>
      <c r="K50" t="s">
        <v>426</v>
      </c>
      <c r="L50">
        <v>1369</v>
      </c>
      <c r="N50">
        <v>1013</v>
      </c>
      <c r="O50" t="s">
        <v>356</v>
      </c>
      <c r="P50" t="s">
        <v>356</v>
      </c>
      <c r="Q50">
        <v>1</v>
      </c>
      <c r="X50">
        <v>23.04</v>
      </c>
      <c r="Y50">
        <v>0</v>
      </c>
      <c r="Z50">
        <v>0</v>
      </c>
      <c r="AA50">
        <v>0</v>
      </c>
      <c r="AB50">
        <v>289.08</v>
      </c>
      <c r="AC50">
        <v>0</v>
      </c>
      <c r="AD50">
        <v>1</v>
      </c>
      <c r="AE50">
        <v>1</v>
      </c>
      <c r="AF50" t="s">
        <v>49</v>
      </c>
      <c r="AG50">
        <v>31.795199999999998</v>
      </c>
      <c r="AH50">
        <v>2</v>
      </c>
      <c r="AI50">
        <v>48277457</v>
      </c>
      <c r="AJ50">
        <v>54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ROW(Source!A80)</f>
        <v>80</v>
      </c>
      <c r="B51">
        <v>48277458</v>
      </c>
      <c r="C51">
        <v>48276727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40</v>
      </c>
      <c r="J51" t="s">
        <v>6</v>
      </c>
      <c r="K51" t="s">
        <v>359</v>
      </c>
      <c r="L51">
        <v>608254</v>
      </c>
      <c r="N51">
        <v>1013</v>
      </c>
      <c r="O51" t="s">
        <v>360</v>
      </c>
      <c r="P51" t="s">
        <v>360</v>
      </c>
      <c r="Q51">
        <v>1</v>
      </c>
      <c r="X51">
        <v>0.2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49</v>
      </c>
      <c r="AG51">
        <v>0.27599999999999997</v>
      </c>
      <c r="AH51">
        <v>2</v>
      </c>
      <c r="AI51">
        <v>48277458</v>
      </c>
      <c r="AJ51">
        <v>55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ROW(Source!A80)</f>
        <v>80</v>
      </c>
      <c r="B52">
        <v>48277459</v>
      </c>
      <c r="C52">
        <v>48276727</v>
      </c>
      <c r="D52">
        <v>29172362</v>
      </c>
      <c r="E52">
        <v>1</v>
      </c>
      <c r="F52">
        <v>1</v>
      </c>
      <c r="G52">
        <v>1</v>
      </c>
      <c r="H52">
        <v>2</v>
      </c>
      <c r="I52" t="s">
        <v>390</v>
      </c>
      <c r="J52" t="s">
        <v>391</v>
      </c>
      <c r="K52" t="s">
        <v>392</v>
      </c>
      <c r="L52">
        <v>1368</v>
      </c>
      <c r="N52">
        <v>1011</v>
      </c>
      <c r="O52" t="s">
        <v>364</v>
      </c>
      <c r="P52" t="s">
        <v>364</v>
      </c>
      <c r="Q52">
        <v>1</v>
      </c>
      <c r="X52">
        <v>0.2</v>
      </c>
      <c r="Y52">
        <v>0</v>
      </c>
      <c r="Z52">
        <v>134.65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49</v>
      </c>
      <c r="AG52">
        <v>0.27599999999999997</v>
      </c>
      <c r="AH52">
        <v>2</v>
      </c>
      <c r="AI52">
        <v>48277459</v>
      </c>
      <c r="AJ52">
        <v>56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ROW(Source!A80)</f>
        <v>80</v>
      </c>
      <c r="B53">
        <v>48277460</v>
      </c>
      <c r="C53">
        <v>48276727</v>
      </c>
      <c r="D53">
        <v>29172498</v>
      </c>
      <c r="E53">
        <v>1</v>
      </c>
      <c r="F53">
        <v>1</v>
      </c>
      <c r="G53">
        <v>1</v>
      </c>
      <c r="H53">
        <v>2</v>
      </c>
      <c r="I53" t="s">
        <v>428</v>
      </c>
      <c r="J53" t="s">
        <v>429</v>
      </c>
      <c r="K53" t="s">
        <v>430</v>
      </c>
      <c r="L53">
        <v>1368</v>
      </c>
      <c r="N53">
        <v>1011</v>
      </c>
      <c r="O53" t="s">
        <v>364</v>
      </c>
      <c r="P53" t="s">
        <v>364</v>
      </c>
      <c r="Q53">
        <v>1</v>
      </c>
      <c r="X53">
        <v>5.14</v>
      </c>
      <c r="Y53">
        <v>0</v>
      </c>
      <c r="Z53">
        <v>2.37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49</v>
      </c>
      <c r="AG53">
        <v>7.0931999999999986</v>
      </c>
      <c r="AH53">
        <v>2</v>
      </c>
      <c r="AI53">
        <v>48277460</v>
      </c>
      <c r="AJ53">
        <v>57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ROW(Source!A80)</f>
        <v>80</v>
      </c>
      <c r="B54">
        <v>48277461</v>
      </c>
      <c r="C54">
        <v>48276727</v>
      </c>
      <c r="D54">
        <v>29172516</v>
      </c>
      <c r="E54">
        <v>1</v>
      </c>
      <c r="F54">
        <v>1</v>
      </c>
      <c r="G54">
        <v>1</v>
      </c>
      <c r="H54">
        <v>2</v>
      </c>
      <c r="I54" t="s">
        <v>431</v>
      </c>
      <c r="J54" t="s">
        <v>432</v>
      </c>
      <c r="K54" t="s">
        <v>433</v>
      </c>
      <c r="L54">
        <v>1368</v>
      </c>
      <c r="N54">
        <v>1011</v>
      </c>
      <c r="O54" t="s">
        <v>364</v>
      </c>
      <c r="P54" t="s">
        <v>364</v>
      </c>
      <c r="Q54">
        <v>1</v>
      </c>
      <c r="X54">
        <v>5.14</v>
      </c>
      <c r="Y54">
        <v>0</v>
      </c>
      <c r="Z54">
        <v>6.9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49</v>
      </c>
      <c r="AG54">
        <v>7.0931999999999986</v>
      </c>
      <c r="AH54">
        <v>2</v>
      </c>
      <c r="AI54">
        <v>48277461</v>
      </c>
      <c r="AJ54">
        <v>58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ROW(Source!A80)</f>
        <v>80</v>
      </c>
      <c r="B55">
        <v>48277462</v>
      </c>
      <c r="C55">
        <v>48276727</v>
      </c>
      <c r="D55">
        <v>29174913</v>
      </c>
      <c r="E55">
        <v>1</v>
      </c>
      <c r="F55">
        <v>1</v>
      </c>
      <c r="G55">
        <v>1</v>
      </c>
      <c r="H55">
        <v>2</v>
      </c>
      <c r="I55" t="s">
        <v>396</v>
      </c>
      <c r="J55" t="s">
        <v>397</v>
      </c>
      <c r="K55" t="s">
        <v>398</v>
      </c>
      <c r="L55">
        <v>1368</v>
      </c>
      <c r="N55">
        <v>1011</v>
      </c>
      <c r="O55" t="s">
        <v>364</v>
      </c>
      <c r="P55" t="s">
        <v>364</v>
      </c>
      <c r="Q55">
        <v>1</v>
      </c>
      <c r="X55">
        <v>0.2</v>
      </c>
      <c r="Y55">
        <v>0</v>
      </c>
      <c r="Z55">
        <v>87.17</v>
      </c>
      <c r="AA55">
        <v>11.6</v>
      </c>
      <c r="AB55">
        <v>0</v>
      </c>
      <c r="AC55">
        <v>0</v>
      </c>
      <c r="AD55">
        <v>1</v>
      </c>
      <c r="AE55">
        <v>0</v>
      </c>
      <c r="AF55" t="s">
        <v>49</v>
      </c>
      <c r="AG55">
        <v>0.27599999999999997</v>
      </c>
      <c r="AH55">
        <v>2</v>
      </c>
      <c r="AI55">
        <v>48277462</v>
      </c>
      <c r="AJ55">
        <v>59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ROW(Source!A80)</f>
        <v>80</v>
      </c>
      <c r="B56">
        <v>48277463</v>
      </c>
      <c r="C56">
        <v>48276727</v>
      </c>
      <c r="D56">
        <v>29110793</v>
      </c>
      <c r="E56">
        <v>1</v>
      </c>
      <c r="F56">
        <v>1</v>
      </c>
      <c r="G56">
        <v>1</v>
      </c>
      <c r="H56">
        <v>3</v>
      </c>
      <c r="I56" t="s">
        <v>440</v>
      </c>
      <c r="J56" t="s">
        <v>441</v>
      </c>
      <c r="K56" t="s">
        <v>442</v>
      </c>
      <c r="L56">
        <v>1308</v>
      </c>
      <c r="N56">
        <v>1003</v>
      </c>
      <c r="O56" t="s">
        <v>90</v>
      </c>
      <c r="P56" t="s">
        <v>90</v>
      </c>
      <c r="Q56">
        <v>100</v>
      </c>
      <c r="X56">
        <v>9.5999999999999992E-3</v>
      </c>
      <c r="Y56">
        <v>120.36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9.5999999999999992E-3</v>
      </c>
      <c r="AH56">
        <v>2</v>
      </c>
      <c r="AI56">
        <v>48277463</v>
      </c>
      <c r="AJ56">
        <v>60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ROW(Source!A80)</f>
        <v>80</v>
      </c>
      <c r="B57">
        <v>48277464</v>
      </c>
      <c r="C57">
        <v>48276727</v>
      </c>
      <c r="D57">
        <v>29122430</v>
      </c>
      <c r="E57">
        <v>1</v>
      </c>
      <c r="F57">
        <v>1</v>
      </c>
      <c r="G57">
        <v>1</v>
      </c>
      <c r="H57">
        <v>3</v>
      </c>
      <c r="I57" t="s">
        <v>443</v>
      </c>
      <c r="J57" t="s">
        <v>444</v>
      </c>
      <c r="K57" t="s">
        <v>445</v>
      </c>
      <c r="L57">
        <v>1348</v>
      </c>
      <c r="N57">
        <v>1009</v>
      </c>
      <c r="O57" t="s">
        <v>215</v>
      </c>
      <c r="P57" t="s">
        <v>215</v>
      </c>
      <c r="Q57">
        <v>1000</v>
      </c>
      <c r="X57">
        <v>6.0000000000000002E-5</v>
      </c>
      <c r="Y57">
        <v>9073.89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6.0000000000000002E-5</v>
      </c>
      <c r="AH57">
        <v>2</v>
      </c>
      <c r="AI57">
        <v>48277464</v>
      </c>
      <c r="AJ57">
        <v>61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ROW(Source!A80)</f>
        <v>80</v>
      </c>
      <c r="B58">
        <v>48277465</v>
      </c>
      <c r="C58">
        <v>48276727</v>
      </c>
      <c r="D58">
        <v>29158011</v>
      </c>
      <c r="E58">
        <v>1</v>
      </c>
      <c r="F58">
        <v>1</v>
      </c>
      <c r="G58">
        <v>1</v>
      </c>
      <c r="H58">
        <v>3</v>
      </c>
      <c r="I58" t="s">
        <v>446</v>
      </c>
      <c r="J58" t="s">
        <v>447</v>
      </c>
      <c r="K58" t="s">
        <v>448</v>
      </c>
      <c r="L58">
        <v>1346</v>
      </c>
      <c r="N58">
        <v>1009</v>
      </c>
      <c r="O58" t="s">
        <v>128</v>
      </c>
      <c r="P58" t="s">
        <v>128</v>
      </c>
      <c r="Q58">
        <v>1</v>
      </c>
      <c r="X58">
        <v>0.5</v>
      </c>
      <c r="Y58">
        <v>68.27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0.5</v>
      </c>
      <c r="AH58">
        <v>2</v>
      </c>
      <c r="AI58">
        <v>48277465</v>
      </c>
      <c r="AJ58">
        <v>62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ROW(Source!A80)</f>
        <v>80</v>
      </c>
      <c r="B59">
        <v>48277466</v>
      </c>
      <c r="C59">
        <v>48276727</v>
      </c>
      <c r="D59">
        <v>29171808</v>
      </c>
      <c r="E59">
        <v>1</v>
      </c>
      <c r="F59">
        <v>1</v>
      </c>
      <c r="G59">
        <v>1</v>
      </c>
      <c r="H59">
        <v>3</v>
      </c>
      <c r="I59" t="s">
        <v>384</v>
      </c>
      <c r="J59" t="s">
        <v>385</v>
      </c>
      <c r="K59" t="s">
        <v>386</v>
      </c>
      <c r="L59">
        <v>1374</v>
      </c>
      <c r="N59">
        <v>1013</v>
      </c>
      <c r="O59" t="s">
        <v>387</v>
      </c>
      <c r="P59" t="s">
        <v>387</v>
      </c>
      <c r="Q59">
        <v>1</v>
      </c>
      <c r="X59">
        <v>4.43</v>
      </c>
      <c r="Y59">
        <v>1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4.43</v>
      </c>
      <c r="AH59">
        <v>2</v>
      </c>
      <c r="AI59">
        <v>48277466</v>
      </c>
      <c r="AJ59">
        <v>63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ROW(Source!A81)</f>
        <v>81</v>
      </c>
      <c r="B60">
        <v>48277488</v>
      </c>
      <c r="C60">
        <v>48277487</v>
      </c>
      <c r="D60">
        <v>29362762</v>
      </c>
      <c r="E60">
        <v>1</v>
      </c>
      <c r="F60">
        <v>1</v>
      </c>
      <c r="G60">
        <v>1</v>
      </c>
      <c r="H60">
        <v>1</v>
      </c>
      <c r="I60" t="s">
        <v>425</v>
      </c>
      <c r="J60" t="s">
        <v>6</v>
      </c>
      <c r="K60" t="s">
        <v>426</v>
      </c>
      <c r="L60">
        <v>1369</v>
      </c>
      <c r="N60">
        <v>1013</v>
      </c>
      <c r="O60" t="s">
        <v>356</v>
      </c>
      <c r="P60" t="s">
        <v>356</v>
      </c>
      <c r="Q60">
        <v>1</v>
      </c>
      <c r="X60">
        <v>24.32</v>
      </c>
      <c r="Y60">
        <v>0</v>
      </c>
      <c r="Z60">
        <v>0</v>
      </c>
      <c r="AA60">
        <v>0</v>
      </c>
      <c r="AB60">
        <v>289.08</v>
      </c>
      <c r="AC60">
        <v>0</v>
      </c>
      <c r="AD60">
        <v>1</v>
      </c>
      <c r="AE60">
        <v>1</v>
      </c>
      <c r="AF60" t="s">
        <v>205</v>
      </c>
      <c r="AG60">
        <v>32.832000000000001</v>
      </c>
      <c r="AH60">
        <v>2</v>
      </c>
      <c r="AI60">
        <v>48277488</v>
      </c>
      <c r="AJ60">
        <v>64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ROW(Source!A81)</f>
        <v>81</v>
      </c>
      <c r="B61">
        <v>48277489</v>
      </c>
      <c r="C61">
        <v>48277487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40</v>
      </c>
      <c r="J61" t="s">
        <v>6</v>
      </c>
      <c r="K61" t="s">
        <v>359</v>
      </c>
      <c r="L61">
        <v>608254</v>
      </c>
      <c r="N61">
        <v>1013</v>
      </c>
      <c r="O61" t="s">
        <v>360</v>
      </c>
      <c r="P61" t="s">
        <v>360</v>
      </c>
      <c r="Q61">
        <v>1</v>
      </c>
      <c r="X61">
        <v>7.62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205</v>
      </c>
      <c r="AG61">
        <v>10.287000000000001</v>
      </c>
      <c r="AH61">
        <v>2</v>
      </c>
      <c r="AI61">
        <v>48277489</v>
      </c>
      <c r="AJ61">
        <v>65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ROW(Source!A81)</f>
        <v>81</v>
      </c>
      <c r="B62">
        <v>48277490</v>
      </c>
      <c r="C62">
        <v>48277487</v>
      </c>
      <c r="D62">
        <v>29172362</v>
      </c>
      <c r="E62">
        <v>1</v>
      </c>
      <c r="F62">
        <v>1</v>
      </c>
      <c r="G62">
        <v>1</v>
      </c>
      <c r="H62">
        <v>2</v>
      </c>
      <c r="I62" t="s">
        <v>390</v>
      </c>
      <c r="J62" t="s">
        <v>391</v>
      </c>
      <c r="K62" t="s">
        <v>392</v>
      </c>
      <c r="L62">
        <v>1368</v>
      </c>
      <c r="N62">
        <v>1011</v>
      </c>
      <c r="O62" t="s">
        <v>364</v>
      </c>
      <c r="P62" t="s">
        <v>364</v>
      </c>
      <c r="Q62">
        <v>1</v>
      </c>
      <c r="X62">
        <v>0.2</v>
      </c>
      <c r="Y62">
        <v>0</v>
      </c>
      <c r="Z62">
        <v>134.65</v>
      </c>
      <c r="AA62">
        <v>13.5</v>
      </c>
      <c r="AB62">
        <v>0</v>
      </c>
      <c r="AC62">
        <v>0</v>
      </c>
      <c r="AD62">
        <v>1</v>
      </c>
      <c r="AE62">
        <v>0</v>
      </c>
      <c r="AF62" t="s">
        <v>205</v>
      </c>
      <c r="AG62">
        <v>0.27</v>
      </c>
      <c r="AH62">
        <v>2</v>
      </c>
      <c r="AI62">
        <v>48277490</v>
      </c>
      <c r="AJ62">
        <v>66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ROW(Source!A81)</f>
        <v>81</v>
      </c>
      <c r="B63">
        <v>48277491</v>
      </c>
      <c r="C63">
        <v>48277487</v>
      </c>
      <c r="D63">
        <v>29172498</v>
      </c>
      <c r="E63">
        <v>1</v>
      </c>
      <c r="F63">
        <v>1</v>
      </c>
      <c r="G63">
        <v>1</v>
      </c>
      <c r="H63">
        <v>2</v>
      </c>
      <c r="I63" t="s">
        <v>428</v>
      </c>
      <c r="J63" t="s">
        <v>429</v>
      </c>
      <c r="K63" t="s">
        <v>430</v>
      </c>
      <c r="L63">
        <v>1368</v>
      </c>
      <c r="N63">
        <v>1011</v>
      </c>
      <c r="O63" t="s">
        <v>364</v>
      </c>
      <c r="P63" t="s">
        <v>364</v>
      </c>
      <c r="Q63">
        <v>1</v>
      </c>
      <c r="X63">
        <v>5.57</v>
      </c>
      <c r="Y63">
        <v>0</v>
      </c>
      <c r="Z63">
        <v>2.37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205</v>
      </c>
      <c r="AG63">
        <v>7.5195000000000007</v>
      </c>
      <c r="AH63">
        <v>2</v>
      </c>
      <c r="AI63">
        <v>48277491</v>
      </c>
      <c r="AJ63">
        <v>67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ROW(Source!A81)</f>
        <v>81</v>
      </c>
      <c r="B64">
        <v>48277492</v>
      </c>
      <c r="C64">
        <v>48277487</v>
      </c>
      <c r="D64">
        <v>29172516</v>
      </c>
      <c r="E64">
        <v>1</v>
      </c>
      <c r="F64">
        <v>1</v>
      </c>
      <c r="G64">
        <v>1</v>
      </c>
      <c r="H64">
        <v>2</v>
      </c>
      <c r="I64" t="s">
        <v>431</v>
      </c>
      <c r="J64" t="s">
        <v>432</v>
      </c>
      <c r="K64" t="s">
        <v>433</v>
      </c>
      <c r="L64">
        <v>1368</v>
      </c>
      <c r="N64">
        <v>1011</v>
      </c>
      <c r="O64" t="s">
        <v>364</v>
      </c>
      <c r="P64" t="s">
        <v>364</v>
      </c>
      <c r="Q64">
        <v>1</v>
      </c>
      <c r="X64">
        <v>5.57</v>
      </c>
      <c r="Y64">
        <v>0</v>
      </c>
      <c r="Z64">
        <v>6.9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205</v>
      </c>
      <c r="AG64">
        <v>7.5195000000000007</v>
      </c>
      <c r="AH64">
        <v>2</v>
      </c>
      <c r="AI64">
        <v>48277492</v>
      </c>
      <c r="AJ64">
        <v>68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ROW(Source!A81)</f>
        <v>81</v>
      </c>
      <c r="B65">
        <v>48277493</v>
      </c>
      <c r="C65">
        <v>48277487</v>
      </c>
      <c r="D65">
        <v>29172565</v>
      </c>
      <c r="E65">
        <v>1</v>
      </c>
      <c r="F65">
        <v>1</v>
      </c>
      <c r="G65">
        <v>1</v>
      </c>
      <c r="H65">
        <v>2</v>
      </c>
      <c r="I65" t="s">
        <v>449</v>
      </c>
      <c r="J65" t="s">
        <v>450</v>
      </c>
      <c r="K65" t="s">
        <v>451</v>
      </c>
      <c r="L65">
        <v>1368</v>
      </c>
      <c r="N65">
        <v>1011</v>
      </c>
      <c r="O65" t="s">
        <v>364</v>
      </c>
      <c r="P65" t="s">
        <v>364</v>
      </c>
      <c r="Q65">
        <v>1</v>
      </c>
      <c r="X65">
        <v>7.42</v>
      </c>
      <c r="Y65">
        <v>0</v>
      </c>
      <c r="Z65">
        <v>142.69999999999999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205</v>
      </c>
      <c r="AG65">
        <v>10.017000000000001</v>
      </c>
      <c r="AH65">
        <v>2</v>
      </c>
      <c r="AI65">
        <v>48277493</v>
      </c>
      <c r="AJ65">
        <v>69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ROW(Source!A81)</f>
        <v>81</v>
      </c>
      <c r="B66">
        <v>48277494</v>
      </c>
      <c r="C66">
        <v>48277487</v>
      </c>
      <c r="D66">
        <v>29174913</v>
      </c>
      <c r="E66">
        <v>1</v>
      </c>
      <c r="F66">
        <v>1</v>
      </c>
      <c r="G66">
        <v>1</v>
      </c>
      <c r="H66">
        <v>2</v>
      </c>
      <c r="I66" t="s">
        <v>396</v>
      </c>
      <c r="J66" t="s">
        <v>397</v>
      </c>
      <c r="K66" t="s">
        <v>398</v>
      </c>
      <c r="L66">
        <v>1368</v>
      </c>
      <c r="N66">
        <v>1011</v>
      </c>
      <c r="O66" t="s">
        <v>364</v>
      </c>
      <c r="P66" t="s">
        <v>364</v>
      </c>
      <c r="Q66">
        <v>1</v>
      </c>
      <c r="X66">
        <v>0.2</v>
      </c>
      <c r="Y66">
        <v>0</v>
      </c>
      <c r="Z66">
        <v>87.17</v>
      </c>
      <c r="AA66">
        <v>11.6</v>
      </c>
      <c r="AB66">
        <v>0</v>
      </c>
      <c r="AC66">
        <v>0</v>
      </c>
      <c r="AD66">
        <v>1</v>
      </c>
      <c r="AE66">
        <v>0</v>
      </c>
      <c r="AF66" t="s">
        <v>205</v>
      </c>
      <c r="AG66">
        <v>0.27</v>
      </c>
      <c r="AH66">
        <v>2</v>
      </c>
      <c r="AI66">
        <v>48277494</v>
      </c>
      <c r="AJ66">
        <v>70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ROW(Source!A81)</f>
        <v>81</v>
      </c>
      <c r="B67">
        <v>48277495</v>
      </c>
      <c r="C67">
        <v>48277487</v>
      </c>
      <c r="D67">
        <v>29110793</v>
      </c>
      <c r="E67">
        <v>1</v>
      </c>
      <c r="F67">
        <v>1</v>
      </c>
      <c r="G67">
        <v>1</v>
      </c>
      <c r="H67">
        <v>3</v>
      </c>
      <c r="I67" t="s">
        <v>440</v>
      </c>
      <c r="J67" t="s">
        <v>441</v>
      </c>
      <c r="K67" t="s">
        <v>442</v>
      </c>
      <c r="L67">
        <v>1308</v>
      </c>
      <c r="N67">
        <v>1003</v>
      </c>
      <c r="O67" t="s">
        <v>90</v>
      </c>
      <c r="P67" t="s">
        <v>90</v>
      </c>
      <c r="Q67">
        <v>100</v>
      </c>
      <c r="X67">
        <v>2.4500000000000001E-2</v>
      </c>
      <c r="Y67">
        <v>120.36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2.4500000000000001E-2</v>
      </c>
      <c r="AH67">
        <v>2</v>
      </c>
      <c r="AI67">
        <v>48277495</v>
      </c>
      <c r="AJ67">
        <v>71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ROW(Source!A81)</f>
        <v>81</v>
      </c>
      <c r="B68">
        <v>48277496</v>
      </c>
      <c r="C68">
        <v>48277487</v>
      </c>
      <c r="D68">
        <v>29122430</v>
      </c>
      <c r="E68">
        <v>1</v>
      </c>
      <c r="F68">
        <v>1</v>
      </c>
      <c r="G68">
        <v>1</v>
      </c>
      <c r="H68">
        <v>3</v>
      </c>
      <c r="I68" t="s">
        <v>443</v>
      </c>
      <c r="J68" t="s">
        <v>444</v>
      </c>
      <c r="K68" t="s">
        <v>445</v>
      </c>
      <c r="L68">
        <v>1348</v>
      </c>
      <c r="N68">
        <v>1009</v>
      </c>
      <c r="O68" t="s">
        <v>215</v>
      </c>
      <c r="P68" t="s">
        <v>215</v>
      </c>
      <c r="Q68">
        <v>1000</v>
      </c>
      <c r="X68">
        <v>2.8800000000000002E-3</v>
      </c>
      <c r="Y68">
        <v>9073.89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2.8800000000000002E-3</v>
      </c>
      <c r="AH68">
        <v>2</v>
      </c>
      <c r="AI68">
        <v>48277496</v>
      </c>
      <c r="AJ68">
        <v>72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ROW(Source!A81)</f>
        <v>81</v>
      </c>
      <c r="B69">
        <v>48277497</v>
      </c>
      <c r="C69">
        <v>48277487</v>
      </c>
      <c r="D69">
        <v>29158011</v>
      </c>
      <c r="E69">
        <v>1</v>
      </c>
      <c r="F69">
        <v>1</v>
      </c>
      <c r="G69">
        <v>1</v>
      </c>
      <c r="H69">
        <v>3</v>
      </c>
      <c r="I69" t="s">
        <v>446</v>
      </c>
      <c r="J69" t="s">
        <v>447</v>
      </c>
      <c r="K69" t="s">
        <v>448</v>
      </c>
      <c r="L69">
        <v>1346</v>
      </c>
      <c r="N69">
        <v>1009</v>
      </c>
      <c r="O69" t="s">
        <v>128</v>
      </c>
      <c r="P69" t="s">
        <v>128</v>
      </c>
      <c r="Q69">
        <v>1</v>
      </c>
      <c r="X69">
        <v>0.5</v>
      </c>
      <c r="Y69">
        <v>68.27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0.5</v>
      </c>
      <c r="AH69">
        <v>2</v>
      </c>
      <c r="AI69">
        <v>48277497</v>
      </c>
      <c r="AJ69">
        <v>73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ROW(Source!A81)</f>
        <v>81</v>
      </c>
      <c r="B70">
        <v>48277498</v>
      </c>
      <c r="C70">
        <v>48277487</v>
      </c>
      <c r="D70">
        <v>29171808</v>
      </c>
      <c r="E70">
        <v>1</v>
      </c>
      <c r="F70">
        <v>1</v>
      </c>
      <c r="G70">
        <v>1</v>
      </c>
      <c r="H70">
        <v>3</v>
      </c>
      <c r="I70" t="s">
        <v>384</v>
      </c>
      <c r="J70" t="s">
        <v>385</v>
      </c>
      <c r="K70" t="s">
        <v>386</v>
      </c>
      <c r="L70">
        <v>1374</v>
      </c>
      <c r="N70">
        <v>1013</v>
      </c>
      <c r="O70" t="s">
        <v>387</v>
      </c>
      <c r="P70" t="s">
        <v>387</v>
      </c>
      <c r="Q70">
        <v>1</v>
      </c>
      <c r="X70">
        <v>4.68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4.68</v>
      </c>
      <c r="AH70">
        <v>2</v>
      </c>
      <c r="AI70">
        <v>48277498</v>
      </c>
      <c r="AJ70">
        <v>74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ROW(Source!A82)</f>
        <v>82</v>
      </c>
      <c r="B71">
        <v>48279290</v>
      </c>
      <c r="C71">
        <v>48279289</v>
      </c>
      <c r="D71">
        <v>29365145</v>
      </c>
      <c r="E71">
        <v>1</v>
      </c>
      <c r="F71">
        <v>1</v>
      </c>
      <c r="G71">
        <v>1</v>
      </c>
      <c r="H71">
        <v>1</v>
      </c>
      <c r="I71" t="s">
        <v>452</v>
      </c>
      <c r="J71" t="s">
        <v>6</v>
      </c>
      <c r="K71" t="s">
        <v>453</v>
      </c>
      <c r="L71">
        <v>1369</v>
      </c>
      <c r="N71">
        <v>1013</v>
      </c>
      <c r="O71" t="s">
        <v>356</v>
      </c>
      <c r="P71" t="s">
        <v>356</v>
      </c>
      <c r="Q71">
        <v>1</v>
      </c>
      <c r="X71">
        <v>0.17</v>
      </c>
      <c r="Y71">
        <v>0</v>
      </c>
      <c r="Z71">
        <v>0</v>
      </c>
      <c r="AA71">
        <v>0</v>
      </c>
      <c r="AB71">
        <v>275.86</v>
      </c>
      <c r="AC71">
        <v>0</v>
      </c>
      <c r="AD71">
        <v>1</v>
      </c>
      <c r="AE71">
        <v>1</v>
      </c>
      <c r="AF71" t="s">
        <v>49</v>
      </c>
      <c r="AG71">
        <v>0.2346</v>
      </c>
      <c r="AH71">
        <v>2</v>
      </c>
      <c r="AI71">
        <v>48279290</v>
      </c>
      <c r="AJ71">
        <v>75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ROW(Source!A82)</f>
        <v>82</v>
      </c>
      <c r="B72">
        <v>48279291</v>
      </c>
      <c r="C72">
        <v>48279289</v>
      </c>
      <c r="D72">
        <v>29172657</v>
      </c>
      <c r="E72">
        <v>1</v>
      </c>
      <c r="F72">
        <v>1</v>
      </c>
      <c r="G72">
        <v>1</v>
      </c>
      <c r="H72">
        <v>2</v>
      </c>
      <c r="I72" t="s">
        <v>393</v>
      </c>
      <c r="J72" t="s">
        <v>394</v>
      </c>
      <c r="K72" t="s">
        <v>395</v>
      </c>
      <c r="L72">
        <v>1368</v>
      </c>
      <c r="N72">
        <v>1011</v>
      </c>
      <c r="O72" t="s">
        <v>364</v>
      </c>
      <c r="P72" t="s">
        <v>364</v>
      </c>
      <c r="Q72">
        <v>1</v>
      </c>
      <c r="X72">
        <v>0.01</v>
      </c>
      <c r="Y72">
        <v>0</v>
      </c>
      <c r="Z72">
        <v>8.1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49</v>
      </c>
      <c r="AG72">
        <v>1.38E-2</v>
      </c>
      <c r="AH72">
        <v>2</v>
      </c>
      <c r="AI72">
        <v>48279291</v>
      </c>
      <c r="AJ72">
        <v>76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ROW(Source!A82)</f>
        <v>82</v>
      </c>
      <c r="B73">
        <v>48279292</v>
      </c>
      <c r="C73">
        <v>48279289</v>
      </c>
      <c r="D73">
        <v>29174500</v>
      </c>
      <c r="E73">
        <v>1</v>
      </c>
      <c r="F73">
        <v>1</v>
      </c>
      <c r="G73">
        <v>1</v>
      </c>
      <c r="H73">
        <v>2</v>
      </c>
      <c r="I73" t="s">
        <v>454</v>
      </c>
      <c r="J73" t="s">
        <v>455</v>
      </c>
      <c r="K73" t="s">
        <v>456</v>
      </c>
      <c r="L73">
        <v>1368</v>
      </c>
      <c r="N73">
        <v>1011</v>
      </c>
      <c r="O73" t="s">
        <v>364</v>
      </c>
      <c r="P73" t="s">
        <v>364</v>
      </c>
      <c r="Q73">
        <v>1</v>
      </c>
      <c r="X73">
        <v>0.03</v>
      </c>
      <c r="Y73">
        <v>0</v>
      </c>
      <c r="Z73">
        <v>1.95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49</v>
      </c>
      <c r="AG73">
        <v>4.1399999999999992E-2</v>
      </c>
      <c r="AH73">
        <v>2</v>
      </c>
      <c r="AI73">
        <v>48279292</v>
      </c>
      <c r="AJ73">
        <v>77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ROW(Source!A82)</f>
        <v>82</v>
      </c>
      <c r="B74">
        <v>48279293</v>
      </c>
      <c r="C74">
        <v>48279289</v>
      </c>
      <c r="D74">
        <v>29114246</v>
      </c>
      <c r="E74">
        <v>1</v>
      </c>
      <c r="F74">
        <v>1</v>
      </c>
      <c r="G74">
        <v>1</v>
      </c>
      <c r="H74">
        <v>3</v>
      </c>
      <c r="I74" t="s">
        <v>457</v>
      </c>
      <c r="J74" t="s">
        <v>458</v>
      </c>
      <c r="K74" t="s">
        <v>459</v>
      </c>
      <c r="L74">
        <v>1346</v>
      </c>
      <c r="N74">
        <v>1009</v>
      </c>
      <c r="O74" t="s">
        <v>128</v>
      </c>
      <c r="P74" t="s">
        <v>128</v>
      </c>
      <c r="Q74">
        <v>1</v>
      </c>
      <c r="X74">
        <v>0.106</v>
      </c>
      <c r="Y74">
        <v>9.0399999999999991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0.106</v>
      </c>
      <c r="AH74">
        <v>2</v>
      </c>
      <c r="AI74">
        <v>48279293</v>
      </c>
      <c r="AJ74">
        <v>79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ROW(Source!A82)</f>
        <v>82</v>
      </c>
      <c r="B75">
        <v>48279294</v>
      </c>
      <c r="C75">
        <v>48279289</v>
      </c>
      <c r="D75">
        <v>29110426</v>
      </c>
      <c r="E75">
        <v>1</v>
      </c>
      <c r="F75">
        <v>1</v>
      </c>
      <c r="G75">
        <v>1</v>
      </c>
      <c r="H75">
        <v>3</v>
      </c>
      <c r="I75" t="s">
        <v>437</v>
      </c>
      <c r="J75" t="s">
        <v>438</v>
      </c>
      <c r="K75" t="s">
        <v>439</v>
      </c>
      <c r="L75">
        <v>1346</v>
      </c>
      <c r="N75">
        <v>1009</v>
      </c>
      <c r="O75" t="s">
        <v>128</v>
      </c>
      <c r="P75" t="s">
        <v>128</v>
      </c>
      <c r="Q75">
        <v>1</v>
      </c>
      <c r="X75">
        <v>0.02</v>
      </c>
      <c r="Y75">
        <v>28.67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0.02</v>
      </c>
      <c r="AH75">
        <v>2</v>
      </c>
      <c r="AI75">
        <v>48279294</v>
      </c>
      <c r="AJ75">
        <v>80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ROW(Source!A82)</f>
        <v>82</v>
      </c>
      <c r="B76">
        <v>48279295</v>
      </c>
      <c r="C76">
        <v>48279289</v>
      </c>
      <c r="D76">
        <v>29114470</v>
      </c>
      <c r="E76">
        <v>1</v>
      </c>
      <c r="F76">
        <v>1</v>
      </c>
      <c r="G76">
        <v>1</v>
      </c>
      <c r="H76">
        <v>3</v>
      </c>
      <c r="I76" t="s">
        <v>460</v>
      </c>
      <c r="J76" t="s">
        <v>461</v>
      </c>
      <c r="K76" t="s">
        <v>462</v>
      </c>
      <c r="L76">
        <v>1355</v>
      </c>
      <c r="N76">
        <v>1010</v>
      </c>
      <c r="O76" t="s">
        <v>225</v>
      </c>
      <c r="P76" t="s">
        <v>225</v>
      </c>
      <c r="Q76">
        <v>100</v>
      </c>
      <c r="X76">
        <v>0.01</v>
      </c>
      <c r="Y76">
        <v>86.24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0.01</v>
      </c>
      <c r="AH76">
        <v>2</v>
      </c>
      <c r="AI76">
        <v>48279295</v>
      </c>
      <c r="AJ76">
        <v>81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ROW(Source!A82)</f>
        <v>82</v>
      </c>
      <c r="B77">
        <v>48279296</v>
      </c>
      <c r="C77">
        <v>48279289</v>
      </c>
      <c r="D77">
        <v>29165774</v>
      </c>
      <c r="E77">
        <v>1</v>
      </c>
      <c r="F77">
        <v>1</v>
      </c>
      <c r="G77">
        <v>1</v>
      </c>
      <c r="H77">
        <v>3</v>
      </c>
      <c r="I77" t="s">
        <v>95</v>
      </c>
      <c r="J77" t="s">
        <v>98</v>
      </c>
      <c r="K77" t="s">
        <v>96</v>
      </c>
      <c r="L77">
        <v>1358</v>
      </c>
      <c r="N77">
        <v>1010</v>
      </c>
      <c r="O77" t="s">
        <v>97</v>
      </c>
      <c r="P77" t="s">
        <v>97</v>
      </c>
      <c r="Q77">
        <v>10</v>
      </c>
      <c r="X77">
        <v>0.1</v>
      </c>
      <c r="Y77">
        <v>40.9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0.1</v>
      </c>
      <c r="AH77">
        <v>2</v>
      </c>
      <c r="AI77">
        <v>48279296</v>
      </c>
      <c r="AJ77">
        <v>82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ROW(Source!A82)</f>
        <v>82</v>
      </c>
      <c r="B78">
        <v>48279297</v>
      </c>
      <c r="C78">
        <v>48279289</v>
      </c>
      <c r="D78">
        <v>29171808</v>
      </c>
      <c r="E78">
        <v>1</v>
      </c>
      <c r="F78">
        <v>1</v>
      </c>
      <c r="G78">
        <v>1</v>
      </c>
      <c r="H78">
        <v>3</v>
      </c>
      <c r="I78" t="s">
        <v>384</v>
      </c>
      <c r="J78" t="s">
        <v>385</v>
      </c>
      <c r="K78" t="s">
        <v>386</v>
      </c>
      <c r="L78">
        <v>1374</v>
      </c>
      <c r="N78">
        <v>1013</v>
      </c>
      <c r="O78" t="s">
        <v>387</v>
      </c>
      <c r="P78" t="s">
        <v>387</v>
      </c>
      <c r="Q78">
        <v>1</v>
      </c>
      <c r="X78">
        <v>0.03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0.03</v>
      </c>
      <c r="AH78">
        <v>2</v>
      </c>
      <c r="AI78">
        <v>48279297</v>
      </c>
      <c r="AJ78">
        <v>83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ROW(Source!A84)</f>
        <v>84</v>
      </c>
      <c r="B79">
        <v>48277562</v>
      </c>
      <c r="C79">
        <v>48277519</v>
      </c>
      <c r="D79">
        <v>29362762</v>
      </c>
      <c r="E79">
        <v>1</v>
      </c>
      <c r="F79">
        <v>1</v>
      </c>
      <c r="G79">
        <v>1</v>
      </c>
      <c r="H79">
        <v>1</v>
      </c>
      <c r="I79" t="s">
        <v>425</v>
      </c>
      <c r="J79" t="s">
        <v>6</v>
      </c>
      <c r="K79" t="s">
        <v>426</v>
      </c>
      <c r="L79">
        <v>1369</v>
      </c>
      <c r="N79">
        <v>1013</v>
      </c>
      <c r="O79" t="s">
        <v>356</v>
      </c>
      <c r="P79" t="s">
        <v>356</v>
      </c>
      <c r="Q79">
        <v>1</v>
      </c>
      <c r="X79">
        <v>6.09</v>
      </c>
      <c r="Y79">
        <v>0</v>
      </c>
      <c r="Z79">
        <v>0</v>
      </c>
      <c r="AA79">
        <v>0</v>
      </c>
      <c r="AB79">
        <v>289.08</v>
      </c>
      <c r="AC79">
        <v>0</v>
      </c>
      <c r="AD79">
        <v>1</v>
      </c>
      <c r="AE79">
        <v>1</v>
      </c>
      <c r="AF79" t="s">
        <v>205</v>
      </c>
      <c r="AG79">
        <v>8.2215000000000007</v>
      </c>
      <c r="AH79">
        <v>2</v>
      </c>
      <c r="AI79">
        <v>48277562</v>
      </c>
      <c r="AJ79">
        <v>84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ROW(Source!A84)</f>
        <v>84</v>
      </c>
      <c r="B80">
        <v>48277563</v>
      </c>
      <c r="C80">
        <v>48277519</v>
      </c>
      <c r="D80">
        <v>121548</v>
      </c>
      <c r="E80">
        <v>1</v>
      </c>
      <c r="F80">
        <v>1</v>
      </c>
      <c r="G80">
        <v>1</v>
      </c>
      <c r="H80">
        <v>1</v>
      </c>
      <c r="I80" t="s">
        <v>40</v>
      </c>
      <c r="J80" t="s">
        <v>6</v>
      </c>
      <c r="K80" t="s">
        <v>359</v>
      </c>
      <c r="L80">
        <v>608254</v>
      </c>
      <c r="N80">
        <v>1013</v>
      </c>
      <c r="O80" t="s">
        <v>360</v>
      </c>
      <c r="P80" t="s">
        <v>360</v>
      </c>
      <c r="Q80">
        <v>1</v>
      </c>
      <c r="X80">
        <v>4.93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205</v>
      </c>
      <c r="AG80">
        <v>6.6555</v>
      </c>
      <c r="AH80">
        <v>2</v>
      </c>
      <c r="AI80">
        <v>48277563</v>
      </c>
      <c r="AJ80">
        <v>85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ROW(Source!A84)</f>
        <v>84</v>
      </c>
      <c r="B81">
        <v>48277564</v>
      </c>
      <c r="C81">
        <v>48277519</v>
      </c>
      <c r="D81">
        <v>29172362</v>
      </c>
      <c r="E81">
        <v>1</v>
      </c>
      <c r="F81">
        <v>1</v>
      </c>
      <c r="G81">
        <v>1</v>
      </c>
      <c r="H81">
        <v>2</v>
      </c>
      <c r="I81" t="s">
        <v>390</v>
      </c>
      <c r="J81" t="s">
        <v>391</v>
      </c>
      <c r="K81" t="s">
        <v>392</v>
      </c>
      <c r="L81">
        <v>1368</v>
      </c>
      <c r="N81">
        <v>1011</v>
      </c>
      <c r="O81" t="s">
        <v>364</v>
      </c>
      <c r="P81" t="s">
        <v>364</v>
      </c>
      <c r="Q81">
        <v>1</v>
      </c>
      <c r="X81">
        <v>0.01</v>
      </c>
      <c r="Y81">
        <v>0</v>
      </c>
      <c r="Z81">
        <v>134.65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205</v>
      </c>
      <c r="AG81">
        <v>1.3500000000000002E-2</v>
      </c>
      <c r="AH81">
        <v>2</v>
      </c>
      <c r="AI81">
        <v>48277564</v>
      </c>
      <c r="AJ81">
        <v>86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ROW(Source!A84)</f>
        <v>84</v>
      </c>
      <c r="B82">
        <v>48277565</v>
      </c>
      <c r="C82">
        <v>48277519</v>
      </c>
      <c r="D82">
        <v>29172565</v>
      </c>
      <c r="E82">
        <v>1</v>
      </c>
      <c r="F82">
        <v>1</v>
      </c>
      <c r="G82">
        <v>1</v>
      </c>
      <c r="H82">
        <v>2</v>
      </c>
      <c r="I82" t="s">
        <v>449</v>
      </c>
      <c r="J82" t="s">
        <v>450</v>
      </c>
      <c r="K82" t="s">
        <v>451</v>
      </c>
      <c r="L82">
        <v>1368</v>
      </c>
      <c r="N82">
        <v>1011</v>
      </c>
      <c r="O82" t="s">
        <v>364</v>
      </c>
      <c r="P82" t="s">
        <v>364</v>
      </c>
      <c r="Q82">
        <v>1</v>
      </c>
      <c r="X82">
        <v>4.92</v>
      </c>
      <c r="Y82">
        <v>0</v>
      </c>
      <c r="Z82">
        <v>142.69999999999999</v>
      </c>
      <c r="AA82">
        <v>13.5</v>
      </c>
      <c r="AB82">
        <v>0</v>
      </c>
      <c r="AC82">
        <v>0</v>
      </c>
      <c r="AD82">
        <v>1</v>
      </c>
      <c r="AE82">
        <v>0</v>
      </c>
      <c r="AF82" t="s">
        <v>205</v>
      </c>
      <c r="AG82">
        <v>6.6420000000000003</v>
      </c>
      <c r="AH82">
        <v>2</v>
      </c>
      <c r="AI82">
        <v>48277565</v>
      </c>
      <c r="AJ82">
        <v>87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ROW(Source!A84)</f>
        <v>84</v>
      </c>
      <c r="B83">
        <v>48277566</v>
      </c>
      <c r="C83">
        <v>48277519</v>
      </c>
      <c r="D83">
        <v>29174913</v>
      </c>
      <c r="E83">
        <v>1</v>
      </c>
      <c r="F83">
        <v>1</v>
      </c>
      <c r="G83">
        <v>1</v>
      </c>
      <c r="H83">
        <v>2</v>
      </c>
      <c r="I83" t="s">
        <v>396</v>
      </c>
      <c r="J83" t="s">
        <v>397</v>
      </c>
      <c r="K83" t="s">
        <v>398</v>
      </c>
      <c r="L83">
        <v>1368</v>
      </c>
      <c r="N83">
        <v>1011</v>
      </c>
      <c r="O83" t="s">
        <v>364</v>
      </c>
      <c r="P83" t="s">
        <v>364</v>
      </c>
      <c r="Q83">
        <v>1</v>
      </c>
      <c r="X83">
        <v>0.01</v>
      </c>
      <c r="Y83">
        <v>0</v>
      </c>
      <c r="Z83">
        <v>87.17</v>
      </c>
      <c r="AA83">
        <v>11.6</v>
      </c>
      <c r="AB83">
        <v>0</v>
      </c>
      <c r="AC83">
        <v>0</v>
      </c>
      <c r="AD83">
        <v>1</v>
      </c>
      <c r="AE83">
        <v>0</v>
      </c>
      <c r="AF83" t="s">
        <v>205</v>
      </c>
      <c r="AG83">
        <v>1.3500000000000002E-2</v>
      </c>
      <c r="AH83">
        <v>2</v>
      </c>
      <c r="AI83">
        <v>48277566</v>
      </c>
      <c r="AJ83">
        <v>88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ROW(Source!A84)</f>
        <v>84</v>
      </c>
      <c r="B84">
        <v>48277567</v>
      </c>
      <c r="C84">
        <v>48277519</v>
      </c>
      <c r="D84">
        <v>29107402</v>
      </c>
      <c r="E84">
        <v>1</v>
      </c>
      <c r="F84">
        <v>1</v>
      </c>
      <c r="G84">
        <v>1</v>
      </c>
      <c r="H84">
        <v>3</v>
      </c>
      <c r="I84" t="s">
        <v>463</v>
      </c>
      <c r="J84" t="s">
        <v>464</v>
      </c>
      <c r="K84" t="s">
        <v>465</v>
      </c>
      <c r="L84">
        <v>1348</v>
      </c>
      <c r="N84">
        <v>1009</v>
      </c>
      <c r="O84" t="s">
        <v>215</v>
      </c>
      <c r="P84" t="s">
        <v>215</v>
      </c>
      <c r="Q84">
        <v>1000</v>
      </c>
      <c r="X84">
        <v>4.0000000000000002E-4</v>
      </c>
      <c r="Y84">
        <v>4488.3999999999996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4.0000000000000002E-4</v>
      </c>
      <c r="AH84">
        <v>2</v>
      </c>
      <c r="AI84">
        <v>48277567</v>
      </c>
      <c r="AJ84">
        <v>89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ROW(Source!A84)</f>
        <v>84</v>
      </c>
      <c r="B85">
        <v>48277568</v>
      </c>
      <c r="C85">
        <v>48277519</v>
      </c>
      <c r="D85">
        <v>29110793</v>
      </c>
      <c r="E85">
        <v>1</v>
      </c>
      <c r="F85">
        <v>1</v>
      </c>
      <c r="G85">
        <v>1</v>
      </c>
      <c r="H85">
        <v>3</v>
      </c>
      <c r="I85" t="s">
        <v>440</v>
      </c>
      <c r="J85" t="s">
        <v>441</v>
      </c>
      <c r="K85" t="s">
        <v>442</v>
      </c>
      <c r="L85">
        <v>1308</v>
      </c>
      <c r="N85">
        <v>1003</v>
      </c>
      <c r="O85" t="s">
        <v>90</v>
      </c>
      <c r="P85" t="s">
        <v>90</v>
      </c>
      <c r="Q85">
        <v>100</v>
      </c>
      <c r="X85">
        <v>2.3999999999999998E-3</v>
      </c>
      <c r="Y85">
        <v>120.36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2.3999999999999998E-3</v>
      </c>
      <c r="AH85">
        <v>2</v>
      </c>
      <c r="AI85">
        <v>48277568</v>
      </c>
      <c r="AJ85">
        <v>90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ROW(Source!A84)</f>
        <v>84</v>
      </c>
      <c r="B86">
        <v>48277569</v>
      </c>
      <c r="C86">
        <v>48277519</v>
      </c>
      <c r="D86">
        <v>29171692</v>
      </c>
      <c r="E86">
        <v>1</v>
      </c>
      <c r="F86">
        <v>1</v>
      </c>
      <c r="G86">
        <v>1</v>
      </c>
      <c r="H86">
        <v>3</v>
      </c>
      <c r="I86" t="s">
        <v>466</v>
      </c>
      <c r="J86" t="s">
        <v>467</v>
      </c>
      <c r="K86" t="s">
        <v>468</v>
      </c>
      <c r="L86">
        <v>1348</v>
      </c>
      <c r="N86">
        <v>1009</v>
      </c>
      <c r="O86" t="s">
        <v>215</v>
      </c>
      <c r="P86" t="s">
        <v>215</v>
      </c>
      <c r="Q86">
        <v>1000</v>
      </c>
      <c r="X86">
        <v>1.0000000000000001E-5</v>
      </c>
      <c r="Y86">
        <v>7679.6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1.0000000000000001E-5</v>
      </c>
      <c r="AH86">
        <v>2</v>
      </c>
      <c r="AI86">
        <v>48277569</v>
      </c>
      <c r="AJ86">
        <v>91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ROW(Source!A84)</f>
        <v>84</v>
      </c>
      <c r="B87">
        <v>48277570</v>
      </c>
      <c r="C87">
        <v>48277519</v>
      </c>
      <c r="D87">
        <v>29171808</v>
      </c>
      <c r="E87">
        <v>1</v>
      </c>
      <c r="F87">
        <v>1</v>
      </c>
      <c r="G87">
        <v>1</v>
      </c>
      <c r="H87">
        <v>3</v>
      </c>
      <c r="I87" t="s">
        <v>384</v>
      </c>
      <c r="J87" t="s">
        <v>385</v>
      </c>
      <c r="K87" t="s">
        <v>386</v>
      </c>
      <c r="L87">
        <v>1374</v>
      </c>
      <c r="N87">
        <v>1013</v>
      </c>
      <c r="O87" t="s">
        <v>387</v>
      </c>
      <c r="P87" t="s">
        <v>387</v>
      </c>
      <c r="Q87">
        <v>1</v>
      </c>
      <c r="X87">
        <v>1.17</v>
      </c>
      <c r="Y87">
        <v>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1.17</v>
      </c>
      <c r="AH87">
        <v>2</v>
      </c>
      <c r="AI87">
        <v>48277570</v>
      </c>
      <c r="AJ87">
        <v>92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ROW(Source!A85)</f>
        <v>85</v>
      </c>
      <c r="B88">
        <v>48277541</v>
      </c>
      <c r="C88">
        <v>48277538</v>
      </c>
      <c r="D88">
        <v>29362762</v>
      </c>
      <c r="E88">
        <v>1</v>
      </c>
      <c r="F88">
        <v>1</v>
      </c>
      <c r="G88">
        <v>1</v>
      </c>
      <c r="H88">
        <v>1</v>
      </c>
      <c r="I88" t="s">
        <v>425</v>
      </c>
      <c r="J88" t="s">
        <v>6</v>
      </c>
      <c r="K88" t="s">
        <v>426</v>
      </c>
      <c r="L88">
        <v>1369</v>
      </c>
      <c r="N88">
        <v>1013</v>
      </c>
      <c r="O88" t="s">
        <v>356</v>
      </c>
      <c r="P88" t="s">
        <v>356</v>
      </c>
      <c r="Q88">
        <v>1</v>
      </c>
      <c r="X88">
        <v>30.4</v>
      </c>
      <c r="Y88">
        <v>0</v>
      </c>
      <c r="Z88">
        <v>0</v>
      </c>
      <c r="AA88">
        <v>0</v>
      </c>
      <c r="AB88">
        <v>289.08</v>
      </c>
      <c r="AC88">
        <v>0</v>
      </c>
      <c r="AD88">
        <v>1</v>
      </c>
      <c r="AE88">
        <v>1</v>
      </c>
      <c r="AF88" t="s">
        <v>205</v>
      </c>
      <c r="AG88">
        <v>41.04</v>
      </c>
      <c r="AH88">
        <v>2</v>
      </c>
      <c r="AI88">
        <v>48277539</v>
      </c>
      <c r="AJ88">
        <v>93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ROW(Source!A85)</f>
        <v>85</v>
      </c>
      <c r="B89">
        <v>48277542</v>
      </c>
      <c r="C89">
        <v>48277538</v>
      </c>
      <c r="D89">
        <v>29171808</v>
      </c>
      <c r="E89">
        <v>1</v>
      </c>
      <c r="F89">
        <v>1</v>
      </c>
      <c r="G89">
        <v>1</v>
      </c>
      <c r="H89">
        <v>3</v>
      </c>
      <c r="I89" t="s">
        <v>384</v>
      </c>
      <c r="J89" t="s">
        <v>385</v>
      </c>
      <c r="K89" t="s">
        <v>386</v>
      </c>
      <c r="L89">
        <v>1374</v>
      </c>
      <c r="N89">
        <v>1013</v>
      </c>
      <c r="O89" t="s">
        <v>387</v>
      </c>
      <c r="P89" t="s">
        <v>387</v>
      </c>
      <c r="Q89">
        <v>1</v>
      </c>
      <c r="X89">
        <v>5.85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5.85</v>
      </c>
      <c r="AH89">
        <v>2</v>
      </c>
      <c r="AI89">
        <v>48277540</v>
      </c>
      <c r="AJ89">
        <v>94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ROW(Source!A86)</f>
        <v>86</v>
      </c>
      <c r="B90">
        <v>48277553</v>
      </c>
      <c r="C90">
        <v>48277543</v>
      </c>
      <c r="D90">
        <v>29361034</v>
      </c>
      <c r="E90">
        <v>1</v>
      </c>
      <c r="F90">
        <v>1</v>
      </c>
      <c r="G90">
        <v>1</v>
      </c>
      <c r="H90">
        <v>1</v>
      </c>
      <c r="I90" t="s">
        <v>388</v>
      </c>
      <c r="J90" t="s">
        <v>6</v>
      </c>
      <c r="K90" t="s">
        <v>389</v>
      </c>
      <c r="L90">
        <v>1369</v>
      </c>
      <c r="N90">
        <v>1013</v>
      </c>
      <c r="O90" t="s">
        <v>356</v>
      </c>
      <c r="P90" t="s">
        <v>356</v>
      </c>
      <c r="Q90">
        <v>1</v>
      </c>
      <c r="X90">
        <v>32.159999999999997</v>
      </c>
      <c r="Y90">
        <v>0</v>
      </c>
      <c r="Z90">
        <v>0</v>
      </c>
      <c r="AA90">
        <v>0</v>
      </c>
      <c r="AB90">
        <v>282.47000000000003</v>
      </c>
      <c r="AC90">
        <v>0</v>
      </c>
      <c r="AD90">
        <v>1</v>
      </c>
      <c r="AE90">
        <v>1</v>
      </c>
      <c r="AF90" t="s">
        <v>205</v>
      </c>
      <c r="AG90">
        <v>43.415999999999997</v>
      </c>
      <c r="AH90">
        <v>2</v>
      </c>
      <c r="AI90">
        <v>48277544</v>
      </c>
      <c r="AJ90">
        <v>95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ROW(Source!A86)</f>
        <v>86</v>
      </c>
      <c r="B91">
        <v>48277554</v>
      </c>
      <c r="C91">
        <v>48277543</v>
      </c>
      <c r="D91">
        <v>121548</v>
      </c>
      <c r="E91">
        <v>1</v>
      </c>
      <c r="F91">
        <v>1</v>
      </c>
      <c r="G91">
        <v>1</v>
      </c>
      <c r="H91">
        <v>1</v>
      </c>
      <c r="I91" t="s">
        <v>40</v>
      </c>
      <c r="J91" t="s">
        <v>6</v>
      </c>
      <c r="K91" t="s">
        <v>359</v>
      </c>
      <c r="L91">
        <v>608254</v>
      </c>
      <c r="N91">
        <v>1013</v>
      </c>
      <c r="O91" t="s">
        <v>360</v>
      </c>
      <c r="P91" t="s">
        <v>360</v>
      </c>
      <c r="Q91">
        <v>1</v>
      </c>
      <c r="X91">
        <v>0.03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205</v>
      </c>
      <c r="AG91">
        <v>4.0500000000000001E-2</v>
      </c>
      <c r="AH91">
        <v>2</v>
      </c>
      <c r="AI91">
        <v>48277545</v>
      </c>
      <c r="AJ91">
        <v>96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ROW(Source!A86)</f>
        <v>86</v>
      </c>
      <c r="B92">
        <v>48277555</v>
      </c>
      <c r="C92">
        <v>48277543</v>
      </c>
      <c r="D92">
        <v>29172362</v>
      </c>
      <c r="E92">
        <v>1</v>
      </c>
      <c r="F92">
        <v>1</v>
      </c>
      <c r="G92">
        <v>1</v>
      </c>
      <c r="H92">
        <v>2</v>
      </c>
      <c r="I92" t="s">
        <v>390</v>
      </c>
      <c r="J92" t="s">
        <v>391</v>
      </c>
      <c r="K92" t="s">
        <v>392</v>
      </c>
      <c r="L92">
        <v>1368</v>
      </c>
      <c r="N92">
        <v>1011</v>
      </c>
      <c r="O92" t="s">
        <v>364</v>
      </c>
      <c r="P92" t="s">
        <v>364</v>
      </c>
      <c r="Q92">
        <v>1</v>
      </c>
      <c r="X92">
        <v>0.03</v>
      </c>
      <c r="Y92">
        <v>0</v>
      </c>
      <c r="Z92">
        <v>134.65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205</v>
      </c>
      <c r="AG92">
        <v>4.0500000000000001E-2</v>
      </c>
      <c r="AH92">
        <v>2</v>
      </c>
      <c r="AI92">
        <v>48277546</v>
      </c>
      <c r="AJ92">
        <v>97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ROW(Source!A86)</f>
        <v>86</v>
      </c>
      <c r="B93">
        <v>48277556</v>
      </c>
      <c r="C93">
        <v>48277543</v>
      </c>
      <c r="D93">
        <v>29174500</v>
      </c>
      <c r="E93">
        <v>1</v>
      </c>
      <c r="F93">
        <v>1</v>
      </c>
      <c r="G93">
        <v>1</v>
      </c>
      <c r="H93">
        <v>2</v>
      </c>
      <c r="I93" t="s">
        <v>454</v>
      </c>
      <c r="J93" t="s">
        <v>455</v>
      </c>
      <c r="K93" t="s">
        <v>456</v>
      </c>
      <c r="L93">
        <v>1368</v>
      </c>
      <c r="N93">
        <v>1011</v>
      </c>
      <c r="O93" t="s">
        <v>364</v>
      </c>
      <c r="P93" t="s">
        <v>364</v>
      </c>
      <c r="Q93">
        <v>1</v>
      </c>
      <c r="X93">
        <v>12.8</v>
      </c>
      <c r="Y93">
        <v>0</v>
      </c>
      <c r="Z93">
        <v>1.95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205</v>
      </c>
      <c r="AG93">
        <v>17.28</v>
      </c>
      <c r="AH93">
        <v>2</v>
      </c>
      <c r="AI93">
        <v>48277547</v>
      </c>
      <c r="AJ93">
        <v>98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ROW(Source!A86)</f>
        <v>86</v>
      </c>
      <c r="B94">
        <v>48277557</v>
      </c>
      <c r="C94">
        <v>48277543</v>
      </c>
      <c r="D94">
        <v>29174913</v>
      </c>
      <c r="E94">
        <v>1</v>
      </c>
      <c r="F94">
        <v>1</v>
      </c>
      <c r="G94">
        <v>1</v>
      </c>
      <c r="H94">
        <v>2</v>
      </c>
      <c r="I94" t="s">
        <v>396</v>
      </c>
      <c r="J94" t="s">
        <v>397</v>
      </c>
      <c r="K94" t="s">
        <v>398</v>
      </c>
      <c r="L94">
        <v>1368</v>
      </c>
      <c r="N94">
        <v>1011</v>
      </c>
      <c r="O94" t="s">
        <v>364</v>
      </c>
      <c r="P94" t="s">
        <v>364</v>
      </c>
      <c r="Q94">
        <v>1</v>
      </c>
      <c r="X94">
        <v>0.03</v>
      </c>
      <c r="Y94">
        <v>0</v>
      </c>
      <c r="Z94">
        <v>87.17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205</v>
      </c>
      <c r="AG94">
        <v>4.0500000000000001E-2</v>
      </c>
      <c r="AH94">
        <v>2</v>
      </c>
      <c r="AI94">
        <v>48277548</v>
      </c>
      <c r="AJ94">
        <v>99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ROW(Source!A86)</f>
        <v>86</v>
      </c>
      <c r="B95">
        <v>48277558</v>
      </c>
      <c r="C95">
        <v>48277543</v>
      </c>
      <c r="D95">
        <v>29114470</v>
      </c>
      <c r="E95">
        <v>1</v>
      </c>
      <c r="F95">
        <v>1</v>
      </c>
      <c r="G95">
        <v>1</v>
      </c>
      <c r="H95">
        <v>3</v>
      </c>
      <c r="I95" t="s">
        <v>460</v>
      </c>
      <c r="J95" t="s">
        <v>461</v>
      </c>
      <c r="K95" t="s">
        <v>462</v>
      </c>
      <c r="L95">
        <v>1355</v>
      </c>
      <c r="N95">
        <v>1010</v>
      </c>
      <c r="O95" t="s">
        <v>225</v>
      </c>
      <c r="P95" t="s">
        <v>225</v>
      </c>
      <c r="Q95">
        <v>100</v>
      </c>
      <c r="X95">
        <v>2.04</v>
      </c>
      <c r="Y95">
        <v>86.24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2.04</v>
      </c>
      <c r="AH95">
        <v>2</v>
      </c>
      <c r="AI95">
        <v>48277549</v>
      </c>
      <c r="AJ95">
        <v>100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ROW(Source!A86)</f>
        <v>86</v>
      </c>
      <c r="B96">
        <v>48277559</v>
      </c>
      <c r="C96">
        <v>48277543</v>
      </c>
      <c r="D96">
        <v>29114732</v>
      </c>
      <c r="E96">
        <v>1</v>
      </c>
      <c r="F96">
        <v>1</v>
      </c>
      <c r="G96">
        <v>1</v>
      </c>
      <c r="H96">
        <v>3</v>
      </c>
      <c r="I96" t="s">
        <v>469</v>
      </c>
      <c r="J96" t="s">
        <v>470</v>
      </c>
      <c r="K96" t="s">
        <v>471</v>
      </c>
      <c r="L96">
        <v>1355</v>
      </c>
      <c r="N96">
        <v>1010</v>
      </c>
      <c r="O96" t="s">
        <v>225</v>
      </c>
      <c r="P96" t="s">
        <v>225</v>
      </c>
      <c r="Q96">
        <v>100</v>
      </c>
      <c r="X96">
        <v>2.04</v>
      </c>
      <c r="Y96">
        <v>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2.04</v>
      </c>
      <c r="AH96">
        <v>2</v>
      </c>
      <c r="AI96">
        <v>48277550</v>
      </c>
      <c r="AJ96">
        <v>101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ROW(Source!A86)</f>
        <v>86</v>
      </c>
      <c r="B97">
        <v>48277560</v>
      </c>
      <c r="C97">
        <v>48277543</v>
      </c>
      <c r="D97">
        <v>29171808</v>
      </c>
      <c r="E97">
        <v>1</v>
      </c>
      <c r="F97">
        <v>1</v>
      </c>
      <c r="G97">
        <v>1</v>
      </c>
      <c r="H97">
        <v>3</v>
      </c>
      <c r="I97" t="s">
        <v>384</v>
      </c>
      <c r="J97" t="s">
        <v>385</v>
      </c>
      <c r="K97" t="s">
        <v>386</v>
      </c>
      <c r="L97">
        <v>1374</v>
      </c>
      <c r="N97">
        <v>1013</v>
      </c>
      <c r="O97" t="s">
        <v>387</v>
      </c>
      <c r="P97" t="s">
        <v>387</v>
      </c>
      <c r="Q97">
        <v>1</v>
      </c>
      <c r="X97">
        <v>6.05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6.05</v>
      </c>
      <c r="AH97">
        <v>2</v>
      </c>
      <c r="AI97">
        <v>48277552</v>
      </c>
      <c r="AJ97">
        <v>103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ROW(Source!A88)</f>
        <v>88</v>
      </c>
      <c r="B98">
        <v>48277508</v>
      </c>
      <c r="C98">
        <v>48276748</v>
      </c>
      <c r="D98">
        <v>29362762</v>
      </c>
      <c r="E98">
        <v>1</v>
      </c>
      <c r="F98">
        <v>1</v>
      </c>
      <c r="G98">
        <v>1</v>
      </c>
      <c r="H98">
        <v>1</v>
      </c>
      <c r="I98" t="s">
        <v>425</v>
      </c>
      <c r="J98" t="s">
        <v>6</v>
      </c>
      <c r="K98" t="s">
        <v>426</v>
      </c>
      <c r="L98">
        <v>1369</v>
      </c>
      <c r="N98">
        <v>1013</v>
      </c>
      <c r="O98" t="s">
        <v>356</v>
      </c>
      <c r="P98" t="s">
        <v>356</v>
      </c>
      <c r="Q98">
        <v>1</v>
      </c>
      <c r="X98">
        <v>7.86</v>
      </c>
      <c r="Y98">
        <v>0</v>
      </c>
      <c r="Z98">
        <v>0</v>
      </c>
      <c r="AA98">
        <v>0</v>
      </c>
      <c r="AB98">
        <v>289.08</v>
      </c>
      <c r="AC98">
        <v>0</v>
      </c>
      <c r="AD98">
        <v>1</v>
      </c>
      <c r="AE98">
        <v>1</v>
      </c>
      <c r="AF98" t="s">
        <v>49</v>
      </c>
      <c r="AG98">
        <v>10.8468</v>
      </c>
      <c r="AH98">
        <v>2</v>
      </c>
      <c r="AI98">
        <v>48277508</v>
      </c>
      <c r="AJ98">
        <v>104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ROW(Source!A88)</f>
        <v>88</v>
      </c>
      <c r="B99">
        <v>48277509</v>
      </c>
      <c r="C99">
        <v>48276748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40</v>
      </c>
      <c r="J99" t="s">
        <v>6</v>
      </c>
      <c r="K99" t="s">
        <v>359</v>
      </c>
      <c r="L99">
        <v>608254</v>
      </c>
      <c r="N99">
        <v>1013</v>
      </c>
      <c r="O99" t="s">
        <v>360</v>
      </c>
      <c r="P99" t="s">
        <v>360</v>
      </c>
      <c r="Q99">
        <v>1</v>
      </c>
      <c r="X99">
        <v>0.01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49</v>
      </c>
      <c r="AG99">
        <v>1.38E-2</v>
      </c>
      <c r="AH99">
        <v>2</v>
      </c>
      <c r="AI99">
        <v>48277509</v>
      </c>
      <c r="AJ99">
        <v>105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ROW(Source!A88)</f>
        <v>88</v>
      </c>
      <c r="B100">
        <v>48277510</v>
      </c>
      <c r="C100">
        <v>48276748</v>
      </c>
      <c r="D100">
        <v>29172362</v>
      </c>
      <c r="E100">
        <v>1</v>
      </c>
      <c r="F100">
        <v>1</v>
      </c>
      <c r="G100">
        <v>1</v>
      </c>
      <c r="H100">
        <v>2</v>
      </c>
      <c r="I100" t="s">
        <v>390</v>
      </c>
      <c r="J100" t="s">
        <v>391</v>
      </c>
      <c r="K100" t="s">
        <v>392</v>
      </c>
      <c r="L100">
        <v>1368</v>
      </c>
      <c r="N100">
        <v>1011</v>
      </c>
      <c r="O100" t="s">
        <v>364</v>
      </c>
      <c r="P100" t="s">
        <v>364</v>
      </c>
      <c r="Q100">
        <v>1</v>
      </c>
      <c r="X100">
        <v>0.01</v>
      </c>
      <c r="Y100">
        <v>0</v>
      </c>
      <c r="Z100">
        <v>134.65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49</v>
      </c>
      <c r="AG100">
        <v>1.38E-2</v>
      </c>
      <c r="AH100">
        <v>2</v>
      </c>
      <c r="AI100">
        <v>48277510</v>
      </c>
      <c r="AJ100">
        <v>106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ROW(Source!A88)</f>
        <v>88</v>
      </c>
      <c r="B101">
        <v>48277511</v>
      </c>
      <c r="C101">
        <v>48276748</v>
      </c>
      <c r="D101">
        <v>29174913</v>
      </c>
      <c r="E101">
        <v>1</v>
      </c>
      <c r="F101">
        <v>1</v>
      </c>
      <c r="G101">
        <v>1</v>
      </c>
      <c r="H101">
        <v>2</v>
      </c>
      <c r="I101" t="s">
        <v>396</v>
      </c>
      <c r="J101" t="s">
        <v>397</v>
      </c>
      <c r="K101" t="s">
        <v>398</v>
      </c>
      <c r="L101">
        <v>1368</v>
      </c>
      <c r="N101">
        <v>1011</v>
      </c>
      <c r="O101" t="s">
        <v>364</v>
      </c>
      <c r="P101" t="s">
        <v>364</v>
      </c>
      <c r="Q101">
        <v>1</v>
      </c>
      <c r="X101">
        <v>0.01</v>
      </c>
      <c r="Y101">
        <v>0</v>
      </c>
      <c r="Z101">
        <v>87.17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49</v>
      </c>
      <c r="AG101">
        <v>1.38E-2</v>
      </c>
      <c r="AH101">
        <v>2</v>
      </c>
      <c r="AI101">
        <v>48277511</v>
      </c>
      <c r="AJ101">
        <v>107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ROW(Source!A88)</f>
        <v>88</v>
      </c>
      <c r="B102">
        <v>48277512</v>
      </c>
      <c r="C102">
        <v>48276748</v>
      </c>
      <c r="D102">
        <v>29107402</v>
      </c>
      <c r="E102">
        <v>1</v>
      </c>
      <c r="F102">
        <v>1</v>
      </c>
      <c r="G102">
        <v>1</v>
      </c>
      <c r="H102">
        <v>3</v>
      </c>
      <c r="I102" t="s">
        <v>463</v>
      </c>
      <c r="J102" t="s">
        <v>464</v>
      </c>
      <c r="K102" t="s">
        <v>465</v>
      </c>
      <c r="L102">
        <v>1348</v>
      </c>
      <c r="N102">
        <v>1009</v>
      </c>
      <c r="O102" t="s">
        <v>215</v>
      </c>
      <c r="P102" t="s">
        <v>215</v>
      </c>
      <c r="Q102">
        <v>1000</v>
      </c>
      <c r="X102">
        <v>8.0000000000000004E-4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6</v>
      </c>
      <c r="AG102">
        <v>8.0000000000000004E-4</v>
      </c>
      <c r="AH102">
        <v>2</v>
      </c>
      <c r="AI102">
        <v>48277512</v>
      </c>
      <c r="AJ102">
        <v>108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ROW(Source!A88)</f>
        <v>88</v>
      </c>
      <c r="B103">
        <v>48277513</v>
      </c>
      <c r="C103">
        <v>48276748</v>
      </c>
      <c r="D103">
        <v>29110793</v>
      </c>
      <c r="E103">
        <v>1</v>
      </c>
      <c r="F103">
        <v>1</v>
      </c>
      <c r="G103">
        <v>1</v>
      </c>
      <c r="H103">
        <v>3</v>
      </c>
      <c r="I103" t="s">
        <v>440</v>
      </c>
      <c r="J103" t="s">
        <v>441</v>
      </c>
      <c r="K103" t="s">
        <v>442</v>
      </c>
      <c r="L103">
        <v>1308</v>
      </c>
      <c r="N103">
        <v>1003</v>
      </c>
      <c r="O103" t="s">
        <v>90</v>
      </c>
      <c r="P103" t="s">
        <v>90</v>
      </c>
      <c r="Q103">
        <v>100</v>
      </c>
      <c r="X103">
        <v>2.3999999999999998E-3</v>
      </c>
      <c r="Y103">
        <v>120.36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2.3999999999999998E-3</v>
      </c>
      <c r="AH103">
        <v>2</v>
      </c>
      <c r="AI103">
        <v>48277513</v>
      </c>
      <c r="AJ103">
        <v>109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ROW(Source!A88)</f>
        <v>88</v>
      </c>
      <c r="B104">
        <v>48277514</v>
      </c>
      <c r="C104">
        <v>48276748</v>
      </c>
      <c r="D104">
        <v>29171692</v>
      </c>
      <c r="E104">
        <v>1</v>
      </c>
      <c r="F104">
        <v>1</v>
      </c>
      <c r="G104">
        <v>1</v>
      </c>
      <c r="H104">
        <v>3</v>
      </c>
      <c r="I104" t="s">
        <v>466</v>
      </c>
      <c r="J104" t="s">
        <v>467</v>
      </c>
      <c r="K104" t="s">
        <v>468</v>
      </c>
      <c r="L104">
        <v>1348</v>
      </c>
      <c r="N104">
        <v>1009</v>
      </c>
      <c r="O104" t="s">
        <v>215</v>
      </c>
      <c r="P104" t="s">
        <v>215</v>
      </c>
      <c r="Q104">
        <v>1000</v>
      </c>
      <c r="X104">
        <v>2.0000000000000002E-5</v>
      </c>
      <c r="Y104">
        <v>7679.6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6</v>
      </c>
      <c r="AG104">
        <v>2.0000000000000002E-5</v>
      </c>
      <c r="AH104">
        <v>2</v>
      </c>
      <c r="AI104">
        <v>48277514</v>
      </c>
      <c r="AJ104">
        <v>110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ROW(Source!A88)</f>
        <v>88</v>
      </c>
      <c r="B105">
        <v>48277515</v>
      </c>
      <c r="C105">
        <v>48276748</v>
      </c>
      <c r="D105">
        <v>29163458</v>
      </c>
      <c r="E105">
        <v>1</v>
      </c>
      <c r="F105">
        <v>1</v>
      </c>
      <c r="G105">
        <v>1</v>
      </c>
      <c r="H105">
        <v>3</v>
      </c>
      <c r="I105" t="s">
        <v>242</v>
      </c>
      <c r="J105" t="s">
        <v>244</v>
      </c>
      <c r="K105" t="s">
        <v>243</v>
      </c>
      <c r="L105">
        <v>1355</v>
      </c>
      <c r="N105">
        <v>1010</v>
      </c>
      <c r="O105" t="s">
        <v>225</v>
      </c>
      <c r="P105" t="s">
        <v>225</v>
      </c>
      <c r="Q105">
        <v>100</v>
      </c>
      <c r="X105">
        <v>3.1E-2</v>
      </c>
      <c r="Y105">
        <v>1356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3.1E-2</v>
      </c>
      <c r="AH105">
        <v>2</v>
      </c>
      <c r="AI105">
        <v>48277515</v>
      </c>
      <c r="AJ105">
        <v>111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ROW(Source!A88)</f>
        <v>88</v>
      </c>
      <c r="B106">
        <v>48277516</v>
      </c>
      <c r="C106">
        <v>48276748</v>
      </c>
      <c r="D106">
        <v>29171808</v>
      </c>
      <c r="E106">
        <v>1</v>
      </c>
      <c r="F106">
        <v>1</v>
      </c>
      <c r="G106">
        <v>1</v>
      </c>
      <c r="H106">
        <v>3</v>
      </c>
      <c r="I106" t="s">
        <v>384</v>
      </c>
      <c r="J106" t="s">
        <v>385</v>
      </c>
      <c r="K106" t="s">
        <v>386</v>
      </c>
      <c r="L106">
        <v>1374</v>
      </c>
      <c r="N106">
        <v>1013</v>
      </c>
      <c r="O106" t="s">
        <v>387</v>
      </c>
      <c r="P106" t="s">
        <v>387</v>
      </c>
      <c r="Q106">
        <v>1</v>
      </c>
      <c r="X106">
        <v>1.51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1.51</v>
      </c>
      <c r="AH106">
        <v>2</v>
      </c>
      <c r="AI106">
        <v>48277516</v>
      </c>
      <c r="AJ106">
        <v>113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ROW(Source!A90)</f>
        <v>90</v>
      </c>
      <c r="B107">
        <v>48276773</v>
      </c>
      <c r="C107">
        <v>48276769</v>
      </c>
      <c r="D107">
        <v>23670931</v>
      </c>
      <c r="E107">
        <v>1</v>
      </c>
      <c r="F107">
        <v>1</v>
      </c>
      <c r="G107">
        <v>1</v>
      </c>
      <c r="H107">
        <v>1</v>
      </c>
      <c r="I107" t="s">
        <v>472</v>
      </c>
      <c r="J107" t="s">
        <v>6</v>
      </c>
      <c r="K107" t="s">
        <v>473</v>
      </c>
      <c r="L107">
        <v>1369</v>
      </c>
      <c r="N107">
        <v>1013</v>
      </c>
      <c r="O107" t="s">
        <v>356</v>
      </c>
      <c r="P107" t="s">
        <v>356</v>
      </c>
      <c r="Q107">
        <v>1</v>
      </c>
      <c r="X107">
        <v>3.68</v>
      </c>
      <c r="Y107">
        <v>0</v>
      </c>
      <c r="Z107">
        <v>0</v>
      </c>
      <c r="AA107">
        <v>0</v>
      </c>
      <c r="AB107">
        <v>198.26</v>
      </c>
      <c r="AC107">
        <v>0</v>
      </c>
      <c r="AD107">
        <v>1</v>
      </c>
      <c r="AE107">
        <v>1</v>
      </c>
      <c r="AF107" t="s">
        <v>49</v>
      </c>
      <c r="AG107">
        <v>5.0784000000000002</v>
      </c>
      <c r="AH107">
        <v>2</v>
      </c>
      <c r="AI107">
        <v>48276770</v>
      </c>
      <c r="AJ107">
        <v>114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ROW(Source!A90)</f>
        <v>90</v>
      </c>
      <c r="B108">
        <v>48276774</v>
      </c>
      <c r="C108">
        <v>48276769</v>
      </c>
      <c r="D108">
        <v>38771290</v>
      </c>
      <c r="E108">
        <v>1</v>
      </c>
      <c r="F108">
        <v>1</v>
      </c>
      <c r="G108">
        <v>1</v>
      </c>
      <c r="H108">
        <v>2</v>
      </c>
      <c r="I108" t="s">
        <v>474</v>
      </c>
      <c r="J108" t="s">
        <v>475</v>
      </c>
      <c r="K108" t="s">
        <v>476</v>
      </c>
      <c r="L108">
        <v>1368</v>
      </c>
      <c r="N108">
        <v>1011</v>
      </c>
      <c r="O108" t="s">
        <v>364</v>
      </c>
      <c r="P108" t="s">
        <v>364</v>
      </c>
      <c r="Q108">
        <v>1</v>
      </c>
      <c r="X108">
        <v>7.0000000000000007E-2</v>
      </c>
      <c r="Y108">
        <v>0</v>
      </c>
      <c r="Z108">
        <v>105.42</v>
      </c>
      <c r="AA108">
        <v>11.6</v>
      </c>
      <c r="AB108">
        <v>0</v>
      </c>
      <c r="AC108">
        <v>0</v>
      </c>
      <c r="AD108">
        <v>1</v>
      </c>
      <c r="AE108">
        <v>0</v>
      </c>
      <c r="AF108" t="s">
        <v>49</v>
      </c>
      <c r="AG108">
        <v>9.6600000000000005E-2</v>
      </c>
      <c r="AH108">
        <v>2</v>
      </c>
      <c r="AI108">
        <v>48276771</v>
      </c>
      <c r="AJ108">
        <v>115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ROW(Source!A90)</f>
        <v>90</v>
      </c>
      <c r="B109">
        <v>48276775</v>
      </c>
      <c r="C109">
        <v>48276769</v>
      </c>
      <c r="D109">
        <v>38838344</v>
      </c>
      <c r="E109">
        <v>1</v>
      </c>
      <c r="F109">
        <v>1</v>
      </c>
      <c r="G109">
        <v>1</v>
      </c>
      <c r="H109">
        <v>3</v>
      </c>
      <c r="I109" t="s">
        <v>477</v>
      </c>
      <c r="J109" t="s">
        <v>478</v>
      </c>
      <c r="K109" t="s">
        <v>479</v>
      </c>
      <c r="L109">
        <v>1354</v>
      </c>
      <c r="N109">
        <v>1010</v>
      </c>
      <c r="O109" t="s">
        <v>81</v>
      </c>
      <c r="P109" t="s">
        <v>81</v>
      </c>
      <c r="Q109">
        <v>1</v>
      </c>
      <c r="X109">
        <v>206</v>
      </c>
      <c r="Y109">
        <v>7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206</v>
      </c>
      <c r="AH109">
        <v>2</v>
      </c>
      <c r="AI109">
        <v>48276772</v>
      </c>
      <c r="AJ109">
        <v>116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ROW(Source!A125)</f>
        <v>125</v>
      </c>
      <c r="B110">
        <v>48276880</v>
      </c>
      <c r="C110">
        <v>48276877</v>
      </c>
      <c r="D110">
        <v>29477854</v>
      </c>
      <c r="E110">
        <v>1</v>
      </c>
      <c r="F110">
        <v>1</v>
      </c>
      <c r="G110">
        <v>1</v>
      </c>
      <c r="H110">
        <v>1</v>
      </c>
      <c r="I110" t="s">
        <v>480</v>
      </c>
      <c r="J110" t="s">
        <v>6</v>
      </c>
      <c r="K110" t="s">
        <v>481</v>
      </c>
      <c r="L110">
        <v>1369</v>
      </c>
      <c r="N110">
        <v>1013</v>
      </c>
      <c r="O110" t="s">
        <v>356</v>
      </c>
      <c r="P110" t="s">
        <v>356</v>
      </c>
      <c r="Q110">
        <v>1</v>
      </c>
      <c r="X110">
        <v>1.94</v>
      </c>
      <c r="Y110">
        <v>0</v>
      </c>
      <c r="Z110">
        <v>0</v>
      </c>
      <c r="AA110">
        <v>0</v>
      </c>
      <c r="AB110">
        <v>264.97000000000003</v>
      </c>
      <c r="AC110">
        <v>0</v>
      </c>
      <c r="AD110">
        <v>1</v>
      </c>
      <c r="AE110">
        <v>1</v>
      </c>
      <c r="AF110" t="s">
        <v>257</v>
      </c>
      <c r="AG110">
        <v>2.5219999999999998</v>
      </c>
      <c r="AH110">
        <v>2</v>
      </c>
      <c r="AI110">
        <v>48276878</v>
      </c>
      <c r="AJ110">
        <v>117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ROW(Source!A125)</f>
        <v>125</v>
      </c>
      <c r="B111">
        <v>48276881</v>
      </c>
      <c r="C111">
        <v>48276877</v>
      </c>
      <c r="D111">
        <v>29477608</v>
      </c>
      <c r="E111">
        <v>1</v>
      </c>
      <c r="F111">
        <v>1</v>
      </c>
      <c r="G111">
        <v>1</v>
      </c>
      <c r="H111">
        <v>1</v>
      </c>
      <c r="I111" t="s">
        <v>482</v>
      </c>
      <c r="J111" t="s">
        <v>6</v>
      </c>
      <c r="K111" t="s">
        <v>483</v>
      </c>
      <c r="L111">
        <v>1369</v>
      </c>
      <c r="N111">
        <v>1013</v>
      </c>
      <c r="O111" t="s">
        <v>356</v>
      </c>
      <c r="P111" t="s">
        <v>356</v>
      </c>
      <c r="Q111">
        <v>1</v>
      </c>
      <c r="X111">
        <v>2.92</v>
      </c>
      <c r="Y111">
        <v>0</v>
      </c>
      <c r="Z111">
        <v>0</v>
      </c>
      <c r="AA111">
        <v>0</v>
      </c>
      <c r="AB111">
        <v>12.69</v>
      </c>
      <c r="AC111">
        <v>0</v>
      </c>
      <c r="AD111">
        <v>1</v>
      </c>
      <c r="AE111">
        <v>1</v>
      </c>
      <c r="AF111" t="s">
        <v>257</v>
      </c>
      <c r="AG111">
        <v>3.7959999999999998</v>
      </c>
      <c r="AH111">
        <v>2</v>
      </c>
      <c r="AI111">
        <v>48276879</v>
      </c>
      <c r="AJ111">
        <v>118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ROW(Source!A126)</f>
        <v>126</v>
      </c>
      <c r="B112">
        <v>48276885</v>
      </c>
      <c r="C112">
        <v>48276882</v>
      </c>
      <c r="D112">
        <v>29478568</v>
      </c>
      <c r="E112">
        <v>1</v>
      </c>
      <c r="F112">
        <v>1</v>
      </c>
      <c r="G112">
        <v>1</v>
      </c>
      <c r="H112">
        <v>1</v>
      </c>
      <c r="I112" t="s">
        <v>484</v>
      </c>
      <c r="J112" t="s">
        <v>6</v>
      </c>
      <c r="K112" t="s">
        <v>485</v>
      </c>
      <c r="L112">
        <v>1369</v>
      </c>
      <c r="N112">
        <v>1013</v>
      </c>
      <c r="O112" t="s">
        <v>356</v>
      </c>
      <c r="P112" t="s">
        <v>356</v>
      </c>
      <c r="Q112">
        <v>1</v>
      </c>
      <c r="X112">
        <v>0.81</v>
      </c>
      <c r="Y112">
        <v>0</v>
      </c>
      <c r="Z112">
        <v>0</v>
      </c>
      <c r="AA112">
        <v>0</v>
      </c>
      <c r="AB112">
        <v>355.86</v>
      </c>
      <c r="AC112">
        <v>0</v>
      </c>
      <c r="AD112">
        <v>1</v>
      </c>
      <c r="AE112">
        <v>1</v>
      </c>
      <c r="AF112" t="s">
        <v>257</v>
      </c>
      <c r="AG112">
        <v>1.0530000000000002</v>
      </c>
      <c r="AH112">
        <v>2</v>
      </c>
      <c r="AI112">
        <v>48276883</v>
      </c>
      <c r="AJ112">
        <v>119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ROW(Source!A126)</f>
        <v>126</v>
      </c>
      <c r="B113">
        <v>48276886</v>
      </c>
      <c r="C113">
        <v>48276882</v>
      </c>
      <c r="D113">
        <v>29477608</v>
      </c>
      <c r="E113">
        <v>1</v>
      </c>
      <c r="F113">
        <v>1</v>
      </c>
      <c r="G113">
        <v>1</v>
      </c>
      <c r="H113">
        <v>1</v>
      </c>
      <c r="I113" t="s">
        <v>482</v>
      </c>
      <c r="J113" t="s">
        <v>6</v>
      </c>
      <c r="K113" t="s">
        <v>483</v>
      </c>
      <c r="L113">
        <v>1369</v>
      </c>
      <c r="N113">
        <v>1013</v>
      </c>
      <c r="O113" t="s">
        <v>356</v>
      </c>
      <c r="P113" t="s">
        <v>356</v>
      </c>
      <c r="Q113">
        <v>1</v>
      </c>
      <c r="X113">
        <v>0.81</v>
      </c>
      <c r="Y113">
        <v>0</v>
      </c>
      <c r="Z113">
        <v>0</v>
      </c>
      <c r="AA113">
        <v>0</v>
      </c>
      <c r="AB113">
        <v>12.69</v>
      </c>
      <c r="AC113">
        <v>0</v>
      </c>
      <c r="AD113">
        <v>1</v>
      </c>
      <c r="AE113">
        <v>1</v>
      </c>
      <c r="AF113" t="s">
        <v>257</v>
      </c>
      <c r="AG113">
        <v>1.0530000000000002</v>
      </c>
      <c r="AH113">
        <v>2</v>
      </c>
      <c r="AI113">
        <v>48276884</v>
      </c>
      <c r="AJ113">
        <v>120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4"/>
  <sheetViews>
    <sheetView view="pageBreakPreview" topLeftCell="A91" zoomScaleNormal="100" zoomScaleSheetLayoutView="100" workbookViewId="0">
      <selection activeCell="AN258" sqref="AN258"/>
    </sheetView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6" width="10.7109375" customWidth="1"/>
    <col min="7" max="9" width="12.7109375" customWidth="1"/>
    <col min="10" max="10" width="17.7109375" customWidth="1"/>
    <col min="11" max="11" width="8.7109375" customWidth="1"/>
    <col min="12" max="12" width="12.7109375" customWidth="1"/>
    <col min="13" max="13" width="8.7109375" customWidth="1"/>
    <col min="15" max="31" width="0" hidden="1" customWidth="1"/>
    <col min="32" max="32" width="96.7109375" hidden="1" customWidth="1"/>
    <col min="33" max="36" width="0" hidden="1" customWidth="1"/>
  </cols>
  <sheetData>
    <row r="1" spans="1:13" x14ac:dyDescent="0.2">
      <c r="A1" s="9" t="str">
        <f>Source!B1</f>
        <v>Smeta.RU  (495) 974-1589</v>
      </c>
    </row>
    <row r="2" spans="1:13" ht="15" x14ac:dyDescent="0.25">
      <c r="A2" s="11"/>
      <c r="B2" s="11"/>
      <c r="C2" s="11"/>
      <c r="D2" s="29"/>
      <c r="E2" s="29"/>
      <c r="F2" s="29"/>
      <c r="G2" s="11"/>
      <c r="H2" s="11"/>
      <c r="I2" s="11"/>
      <c r="J2" s="116" t="s">
        <v>565</v>
      </c>
      <c r="K2" s="116"/>
      <c r="L2" s="116"/>
      <c r="M2" s="116"/>
    </row>
    <row r="3" spans="1:13" ht="14.25" x14ac:dyDescent="0.2">
      <c r="A3" s="11"/>
      <c r="B3" s="11"/>
      <c r="C3" s="11"/>
      <c r="D3" s="11"/>
      <c r="E3" s="11"/>
      <c r="F3" s="11"/>
      <c r="G3" s="11"/>
      <c r="H3" s="11"/>
      <c r="I3" s="116" t="s">
        <v>566</v>
      </c>
      <c r="J3" s="117"/>
      <c r="K3" s="117"/>
      <c r="L3" s="117"/>
      <c r="M3" s="117"/>
    </row>
    <row r="4" spans="1:13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6" t="s">
        <v>567</v>
      </c>
      <c r="K4" s="116"/>
      <c r="L4" s="116"/>
      <c r="M4" s="116"/>
    </row>
    <row r="5" spans="1:13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07" t="s">
        <v>568</v>
      </c>
      <c r="L6" s="107"/>
      <c r="M6" s="107"/>
    </row>
    <row r="7" spans="1:13" ht="14.25" x14ac:dyDescent="0.2">
      <c r="A7" s="11"/>
      <c r="B7" s="11"/>
      <c r="C7" s="11"/>
      <c r="D7" s="11"/>
      <c r="E7" s="11"/>
      <c r="F7" s="11"/>
      <c r="G7" s="11"/>
      <c r="H7" s="11"/>
      <c r="I7" s="11"/>
      <c r="J7" s="10" t="s">
        <v>569</v>
      </c>
      <c r="K7" s="118" t="s">
        <v>570</v>
      </c>
      <c r="L7" s="118"/>
      <c r="M7" s="118"/>
    </row>
    <row r="8" spans="1:13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07" t="str">
        <f>IF(Source!AT15 &lt;&gt; "", Source!AT15, "")</f>
        <v/>
      </c>
      <c r="L8" s="107"/>
      <c r="M8" s="107"/>
    </row>
    <row r="9" spans="1:13" ht="14.25" x14ac:dyDescent="0.2">
      <c r="A9" s="85" t="s">
        <v>571</v>
      </c>
      <c r="B9" s="85"/>
      <c r="C9" s="114" t="str">
        <f>IF(Source!BA15 &lt;&gt; "", Source!BA15, IF(Source!AU15 &lt;&gt; "", Source!AU15, ""))</f>
        <v/>
      </c>
      <c r="D9" s="114"/>
      <c r="E9" s="114"/>
      <c r="F9" s="114"/>
      <c r="G9" s="114"/>
      <c r="H9" s="114"/>
      <c r="I9" s="114"/>
      <c r="J9" s="10" t="s">
        <v>572</v>
      </c>
      <c r="K9" s="107"/>
      <c r="L9" s="107"/>
      <c r="M9" s="107"/>
    </row>
    <row r="10" spans="1:13" ht="14.25" x14ac:dyDescent="0.2">
      <c r="A10" s="11"/>
      <c r="B10" s="11"/>
      <c r="C10" s="89" t="s">
        <v>573</v>
      </c>
      <c r="D10" s="89"/>
      <c r="E10" s="89"/>
      <c r="F10" s="89"/>
      <c r="G10" s="89"/>
      <c r="H10" s="89"/>
      <c r="I10" s="89"/>
      <c r="J10" s="11"/>
      <c r="K10" s="107" t="str">
        <f>IF(Source!AK15 &lt;&gt; "", Source!AK15, "")</f>
        <v/>
      </c>
      <c r="L10" s="107"/>
      <c r="M10" s="107"/>
    </row>
    <row r="11" spans="1:13" ht="30" customHeight="1" x14ac:dyDescent="0.2">
      <c r="A11" s="85" t="s">
        <v>574</v>
      </c>
      <c r="B11" s="85"/>
      <c r="C11" s="114" t="s">
        <v>656</v>
      </c>
      <c r="D11" s="114"/>
      <c r="E11" s="114"/>
      <c r="F11" s="114"/>
      <c r="G11" s="114"/>
      <c r="H11" s="114"/>
      <c r="I11" s="114"/>
      <c r="J11" s="10" t="s">
        <v>572</v>
      </c>
      <c r="K11" s="107"/>
      <c r="L11" s="107"/>
      <c r="M11" s="107"/>
    </row>
    <row r="12" spans="1:13" ht="14.25" x14ac:dyDescent="0.2">
      <c r="A12" s="11"/>
      <c r="B12" s="11"/>
      <c r="C12" s="89" t="s">
        <v>573</v>
      </c>
      <c r="D12" s="89"/>
      <c r="E12" s="89"/>
      <c r="F12" s="89"/>
      <c r="G12" s="89"/>
      <c r="H12" s="89"/>
      <c r="I12" s="89"/>
      <c r="J12" s="11"/>
      <c r="K12" s="107" t="str">
        <f>IF(Source!AO15 &lt;&gt; "", Source!AO15, "")</f>
        <v/>
      </c>
      <c r="L12" s="107"/>
      <c r="M12" s="107"/>
    </row>
    <row r="13" spans="1:13" ht="14.25" x14ac:dyDescent="0.2">
      <c r="A13" s="85" t="s">
        <v>575</v>
      </c>
      <c r="B13" s="85"/>
      <c r="C13" s="114" t="str">
        <f>IF(Source!AY12&lt;&gt; "", Source!AY12, IF(Source!AN12 &lt;&gt; "", Source!AN12, ""))</f>
        <v>ООО"Энергоперспектива", 129110, г. Москва, ул. Гиляровского, д. 65 стр. 1, этаж 5, комната 7, помещение XVI</v>
      </c>
      <c r="D13" s="114"/>
      <c r="E13" s="114"/>
      <c r="F13" s="114"/>
      <c r="G13" s="114"/>
      <c r="H13" s="114"/>
      <c r="I13" s="114"/>
      <c r="J13" s="10" t="s">
        <v>572</v>
      </c>
      <c r="K13" s="107"/>
      <c r="L13" s="107"/>
      <c r="M13" s="107"/>
    </row>
    <row r="14" spans="1:13" ht="14.25" x14ac:dyDescent="0.2">
      <c r="A14" s="11"/>
      <c r="B14" s="11"/>
      <c r="C14" s="89" t="s">
        <v>573</v>
      </c>
      <c r="D14" s="89"/>
      <c r="E14" s="89"/>
      <c r="F14" s="89"/>
      <c r="G14" s="89"/>
      <c r="H14" s="89"/>
      <c r="I14" s="89"/>
      <c r="J14" s="11"/>
      <c r="K14" s="107" t="str">
        <f>IF(Source!CO15 &lt;&gt; "", Source!CO15, "")</f>
        <v/>
      </c>
      <c r="L14" s="107"/>
      <c r="M14" s="107"/>
    </row>
    <row r="15" spans="1:13" ht="14.25" x14ac:dyDescent="0.2">
      <c r="A15" s="85" t="s">
        <v>576</v>
      </c>
      <c r="B15" s="85"/>
      <c r="C15" s="114" t="s">
        <v>655</v>
      </c>
      <c r="D15" s="114"/>
      <c r="E15" s="114"/>
      <c r="F15" s="114"/>
      <c r="G15" s="114"/>
      <c r="H15" s="114"/>
      <c r="I15" s="114"/>
      <c r="J15" s="11"/>
      <c r="K15" s="107"/>
      <c r="L15" s="107"/>
      <c r="M15" s="107"/>
    </row>
    <row r="16" spans="1:13" ht="14.25" x14ac:dyDescent="0.2">
      <c r="A16" s="11"/>
      <c r="B16" s="11"/>
      <c r="C16" s="89" t="s">
        <v>577</v>
      </c>
      <c r="D16" s="89"/>
      <c r="E16" s="89"/>
      <c r="F16" s="89"/>
      <c r="G16" s="89"/>
      <c r="H16" s="89"/>
      <c r="I16" s="89"/>
      <c r="J16" s="11"/>
      <c r="K16" s="107" t="str">
        <f>IF(Source!CP15 &lt;&gt; "", Source!CP15, "")</f>
        <v/>
      </c>
      <c r="L16" s="107"/>
      <c r="M16" s="107"/>
    </row>
    <row r="17" spans="1:13" ht="14.25" x14ac:dyDescent="0.2">
      <c r="A17" s="85" t="s">
        <v>578</v>
      </c>
      <c r="B17" s="85"/>
      <c r="C17" s="114" t="str">
        <f>IF(Source!G12&lt;&gt;"Новый объект", Source!G12, "")</f>
        <v>Существующая электрическая сеть 6 кВ по территории СНТ " Фарфорист" и СНТ " Дружба"</v>
      </c>
      <c r="D17" s="114"/>
      <c r="E17" s="114"/>
      <c r="F17" s="114"/>
      <c r="G17" s="114"/>
      <c r="H17" s="114"/>
      <c r="I17" s="114"/>
      <c r="J17" s="11"/>
      <c r="K17" s="107"/>
      <c r="L17" s="107"/>
      <c r="M17" s="107"/>
    </row>
    <row r="18" spans="1:13" ht="14.25" x14ac:dyDescent="0.2">
      <c r="A18" s="11"/>
      <c r="B18" s="11"/>
      <c r="C18" s="89" t="s">
        <v>579</v>
      </c>
      <c r="D18" s="89"/>
      <c r="E18" s="89"/>
      <c r="F18" s="89"/>
      <c r="G18" s="89"/>
      <c r="H18" s="89"/>
      <c r="I18" s="89"/>
      <c r="J18" s="11"/>
      <c r="K18" s="11"/>
      <c r="L18" s="11"/>
      <c r="M18" s="11"/>
    </row>
    <row r="19" spans="1:13" ht="14.25" x14ac:dyDescent="0.2">
      <c r="A19" s="11"/>
      <c r="B19" s="11"/>
      <c r="C19" s="11"/>
      <c r="D19" s="11"/>
      <c r="E19" s="11"/>
      <c r="F19" s="11"/>
      <c r="G19" s="11"/>
      <c r="H19" s="93" t="s">
        <v>580</v>
      </c>
      <c r="I19" s="93"/>
      <c r="J19" s="115"/>
      <c r="K19" s="107" t="str">
        <f>IF(Source!CQ15 &lt;&gt; "", Source!CQ15, "")</f>
        <v/>
      </c>
      <c r="L19" s="107"/>
      <c r="M19" s="107"/>
    </row>
    <row r="20" spans="1:13" ht="14.25" x14ac:dyDescent="0.2">
      <c r="A20" s="11"/>
      <c r="B20" s="11"/>
      <c r="C20" s="11"/>
      <c r="D20" s="11"/>
      <c r="E20" s="11"/>
      <c r="F20" s="11"/>
      <c r="G20" s="11"/>
      <c r="H20" s="93" t="s">
        <v>581</v>
      </c>
      <c r="I20" s="106"/>
      <c r="J20" s="57" t="s">
        <v>582</v>
      </c>
      <c r="K20" s="107" t="str">
        <f>IF(Source!CR15 &lt;&gt; "", Source!CR15, "")</f>
        <v/>
      </c>
      <c r="L20" s="107"/>
      <c r="M20" s="107"/>
    </row>
    <row r="21" spans="1:13" ht="14.2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24" t="s">
        <v>583</v>
      </c>
      <c r="K21" s="108" t="str">
        <f>IF(Source!CS15 &lt;&gt; 0, Source!CS15, "")</f>
        <v/>
      </c>
      <c r="L21" s="108"/>
      <c r="M21" s="108"/>
    </row>
    <row r="22" spans="1:13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0" t="s">
        <v>584</v>
      </c>
      <c r="K22" s="107" t="str">
        <f>IF(Source!CT15 &lt;&gt; "", Source!CT15, "")</f>
        <v/>
      </c>
      <c r="L22" s="107"/>
      <c r="M22" s="107"/>
    </row>
    <row r="23" spans="1:13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25" x14ac:dyDescent="0.2">
      <c r="A24" s="11"/>
      <c r="B24" s="11"/>
      <c r="C24" s="11"/>
      <c r="D24" s="11"/>
      <c r="E24" s="11"/>
      <c r="F24" s="11"/>
      <c r="G24" s="109" t="s">
        <v>585</v>
      </c>
      <c r="H24" s="111" t="s">
        <v>586</v>
      </c>
      <c r="I24" s="111" t="s">
        <v>587</v>
      </c>
      <c r="J24" s="113"/>
      <c r="K24" s="11"/>
      <c r="L24" s="11"/>
      <c r="M24" s="11"/>
    </row>
    <row r="25" spans="1:13" ht="14.25" x14ac:dyDescent="0.2">
      <c r="A25" s="11"/>
      <c r="B25" s="11"/>
      <c r="C25" s="11"/>
      <c r="D25" s="11"/>
      <c r="E25" s="11"/>
      <c r="F25" s="11"/>
      <c r="G25" s="110"/>
      <c r="H25" s="112"/>
      <c r="I25" s="58" t="s">
        <v>588</v>
      </c>
      <c r="J25" s="59" t="s">
        <v>589</v>
      </c>
      <c r="K25" s="11"/>
      <c r="L25" s="11"/>
      <c r="M25" s="11"/>
    </row>
    <row r="26" spans="1:13" ht="14.25" x14ac:dyDescent="0.2">
      <c r="A26" s="11"/>
      <c r="B26" s="11"/>
      <c r="C26" s="11"/>
      <c r="D26" s="11"/>
      <c r="E26" s="11"/>
      <c r="F26" s="11"/>
      <c r="G26" s="24">
        <v>1</v>
      </c>
      <c r="H26" s="60"/>
      <c r="I26" s="24"/>
      <c r="J26" s="25"/>
      <c r="K26" s="11"/>
      <c r="L26" s="11"/>
      <c r="M26" s="11"/>
    </row>
    <row r="27" spans="1:13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8" x14ac:dyDescent="0.25">
      <c r="A28" s="11"/>
      <c r="B28" s="104" t="s">
        <v>590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</row>
    <row r="29" spans="1:13" ht="18" x14ac:dyDescent="0.25">
      <c r="A29" s="11"/>
      <c r="B29" s="104" t="s">
        <v>591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ht="14.2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A31" s="105" t="s">
        <v>594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 ht="14.25" x14ac:dyDescent="0.2">
      <c r="A32" s="103" t="s">
        <v>592</v>
      </c>
      <c r="B32" s="103"/>
      <c r="C32" s="103" t="s">
        <v>512</v>
      </c>
      <c r="D32" s="103" t="s">
        <v>513</v>
      </c>
      <c r="E32" s="103" t="s">
        <v>514</v>
      </c>
      <c r="F32" s="103" t="s">
        <v>515</v>
      </c>
      <c r="G32" s="103" t="s">
        <v>516</v>
      </c>
      <c r="H32" s="103" t="s">
        <v>517</v>
      </c>
      <c r="I32" s="103" t="s">
        <v>518</v>
      </c>
      <c r="J32" s="103" t="s">
        <v>519</v>
      </c>
      <c r="K32" s="103" t="s">
        <v>520</v>
      </c>
      <c r="L32" s="103" t="s">
        <v>521</v>
      </c>
      <c r="M32" s="103" t="s">
        <v>522</v>
      </c>
    </row>
    <row r="33" spans="1:26" ht="57" x14ac:dyDescent="0.2">
      <c r="A33" s="23" t="s">
        <v>511</v>
      </c>
      <c r="B33" s="23" t="s">
        <v>593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26" ht="14.25" x14ac:dyDescent="0.2">
      <c r="A34" s="61">
        <v>1</v>
      </c>
      <c r="B34" s="61">
        <v>2</v>
      </c>
      <c r="C34" s="61">
        <v>3</v>
      </c>
      <c r="D34" s="61">
        <v>4</v>
      </c>
      <c r="E34" s="61">
        <v>5</v>
      </c>
      <c r="F34" s="61">
        <v>6</v>
      </c>
      <c r="G34" s="61">
        <v>7</v>
      </c>
      <c r="H34" s="61">
        <v>8</v>
      </c>
      <c r="I34" s="61">
        <v>9</v>
      </c>
      <c r="J34" s="61">
        <v>10</v>
      </c>
      <c r="K34" s="61">
        <v>11</v>
      </c>
      <c r="L34" s="61">
        <v>12</v>
      </c>
      <c r="M34" s="61">
        <v>13</v>
      </c>
    </row>
    <row r="36" spans="1:26" ht="16.5" x14ac:dyDescent="0.25">
      <c r="A36" s="82" t="str">
        <f>CONCATENATE("Раздел: ",IF(Source!G24&lt;&gt;"Новый раздел", Source!G24, ""))</f>
        <v>Раздел: Ремонтные работы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26" ht="130.5" x14ac:dyDescent="0.2">
      <c r="A37" s="48">
        <v>1</v>
      </c>
      <c r="B37" s="48" t="str">
        <f>Source!E28</f>
        <v>1</v>
      </c>
      <c r="C37" s="49" t="s">
        <v>524</v>
      </c>
      <c r="D37" s="49" t="str">
        <f>Source!G28</f>
        <v>Разработка грунта вручную в траншеях глубиной до 2 м без креплений с откосами, группа грунтов 2</v>
      </c>
      <c r="E37" s="31" t="str">
        <f>Source!H28</f>
        <v>100 м3 грунта</v>
      </c>
      <c r="F37" s="10">
        <f>Source!I28</f>
        <v>3.6720000000000002</v>
      </c>
      <c r="G37" s="32">
        <f>Source!AL28+Source!AM28+Source!AO28</f>
        <v>1201.2</v>
      </c>
      <c r="H37" s="33"/>
      <c r="I37" s="32"/>
      <c r="J37" s="33" t="str">
        <f>Source!BO28</f>
        <v>01-02-057-2</v>
      </c>
      <c r="K37" s="33"/>
      <c r="L37" s="32"/>
      <c r="M37" s="34"/>
      <c r="S37">
        <f>ROUND((Source!FX28/100)*((ROUND(Source!AF28*Source!I28, 2)+ROUND(Source!AE28*Source!I28, 2))), 2)</f>
        <v>5599.94</v>
      </c>
      <c r="T37">
        <f>Source!X28</f>
        <v>168278.39999999999</v>
      </c>
      <c r="U37">
        <f>ROUND((Source!FY28/100)*((ROUND(Source!AF28*Source!I28, 2)+ROUND(Source!AE28*Source!I28, 2))), 2)</f>
        <v>2677.47</v>
      </c>
      <c r="V37">
        <f>Source!Y28</f>
        <v>79932.240000000005</v>
      </c>
    </row>
    <row r="38" spans="1:26" ht="28.5" x14ac:dyDescent="0.2">
      <c r="A38" s="48"/>
      <c r="B38" s="48"/>
      <c r="C38" s="49"/>
      <c r="D38" s="49" t="s">
        <v>525</v>
      </c>
      <c r="E38" s="31"/>
      <c r="F38" s="10"/>
      <c r="G38" s="32">
        <f>Source!AO28</f>
        <v>1201.2</v>
      </c>
      <c r="H38" s="33" t="str">
        <f>Source!DG28</f>
        <v>)*1,2)*1,15)*1,15</v>
      </c>
      <c r="I38" s="32">
        <f>ROUND(Source!AF28*Source!I28, 2)</f>
        <v>6999.93</v>
      </c>
      <c r="J38" s="33"/>
      <c r="K38" s="33">
        <f>IF(Source!BA28&lt;&gt; 0, Source!BA28, 1)</f>
        <v>30.05</v>
      </c>
      <c r="L38" s="32">
        <f>Source!S28</f>
        <v>210348</v>
      </c>
      <c r="M38" s="34"/>
      <c r="R38">
        <f>I38</f>
        <v>6999.93</v>
      </c>
    </row>
    <row r="39" spans="1:26" ht="14.25" x14ac:dyDescent="0.2">
      <c r="A39" s="48"/>
      <c r="B39" s="48"/>
      <c r="C39" s="49"/>
      <c r="D39" s="49" t="s">
        <v>526</v>
      </c>
      <c r="E39" s="31" t="s">
        <v>527</v>
      </c>
      <c r="F39" s="10">
        <f>Source!BZ28</f>
        <v>80</v>
      </c>
      <c r="G39" s="53"/>
      <c r="H39" s="33"/>
      <c r="I39" s="32">
        <f>SUM(S37:S41)</f>
        <v>5599.94</v>
      </c>
      <c r="J39" s="35"/>
      <c r="K39" s="30">
        <f>Source!AT28</f>
        <v>80</v>
      </c>
      <c r="L39" s="32">
        <f>SUM(T37:T41)</f>
        <v>168278.39999999999</v>
      </c>
      <c r="M39" s="34"/>
    </row>
    <row r="40" spans="1:26" ht="14.25" x14ac:dyDescent="0.2">
      <c r="A40" s="48"/>
      <c r="B40" s="48"/>
      <c r="C40" s="49"/>
      <c r="D40" s="49" t="s">
        <v>528</v>
      </c>
      <c r="E40" s="31" t="s">
        <v>527</v>
      </c>
      <c r="F40" s="10">
        <f>Source!CA28</f>
        <v>45</v>
      </c>
      <c r="G40" s="85" t="str">
        <f>CONCATENATE(" )", Source!DM28, Source!FU28, "=", Source!FY28)</f>
        <v xml:space="preserve"> )*0,85=38,25</v>
      </c>
      <c r="H40" s="86"/>
      <c r="I40" s="32">
        <f>SUM(U37:U41)</f>
        <v>2677.47</v>
      </c>
      <c r="J40" s="35"/>
      <c r="K40" s="30">
        <f>Source!AU28</f>
        <v>38</v>
      </c>
      <c r="L40" s="32">
        <f>SUM(V37:V41)</f>
        <v>79932.240000000005</v>
      </c>
      <c r="M40" s="34"/>
    </row>
    <row r="41" spans="1:26" ht="28.5" x14ac:dyDescent="0.2">
      <c r="A41" s="50"/>
      <c r="B41" s="50"/>
      <c r="C41" s="51"/>
      <c r="D41" s="51" t="s">
        <v>529</v>
      </c>
      <c r="E41" s="36" t="s">
        <v>530</v>
      </c>
      <c r="F41" s="37">
        <f>Source!AQ28</f>
        <v>154</v>
      </c>
      <c r="G41" s="38"/>
      <c r="H41" s="39" t="str">
        <f>Source!DI28</f>
        <v>)*1,2)*1,15)*1,15</v>
      </c>
      <c r="I41" s="38"/>
      <c r="J41" s="39"/>
      <c r="K41" s="39"/>
      <c r="L41" s="38"/>
      <c r="M41" s="40">
        <f>Source!U28</f>
        <v>897.42945599999985</v>
      </c>
    </row>
    <row r="42" spans="1:26" ht="15" x14ac:dyDescent="0.25">
      <c r="H42" s="81">
        <f>I38+I39+I40</f>
        <v>15277.339999999998</v>
      </c>
      <c r="I42" s="81"/>
      <c r="K42" s="81">
        <f>L38+L39+L40</f>
        <v>458558.64</v>
      </c>
      <c r="L42" s="81"/>
      <c r="M42" s="41">
        <f>Source!U28</f>
        <v>897.42945599999985</v>
      </c>
      <c r="O42" s="26">
        <f>H42</f>
        <v>15277.339999999998</v>
      </c>
      <c r="P42" s="26">
        <f>K42</f>
        <v>458558.64</v>
      </c>
      <c r="Q42" s="26">
        <f>M42</f>
        <v>897.42945599999985</v>
      </c>
      <c r="W42">
        <f>IF(Source!BI28&lt;=1,I38+I39+I40, 0)</f>
        <v>15277.339999999998</v>
      </c>
      <c r="X42">
        <f>IF(Source!BI28=2,I38+I39+I40, 0)</f>
        <v>0</v>
      </c>
      <c r="Y42">
        <f>IF(Source!BI28=3,I38+I39+I40, 0)</f>
        <v>0</v>
      </c>
      <c r="Z42">
        <f>IF(Source!BI28=4,I38+I39+I40, 0)</f>
        <v>0</v>
      </c>
    </row>
    <row r="43" spans="1:26" ht="130.5" x14ac:dyDescent="0.2">
      <c r="A43" s="48">
        <v>2</v>
      </c>
      <c r="B43" s="48" t="str">
        <f>Source!E29</f>
        <v>2</v>
      </c>
      <c r="C43" s="49" t="s">
        <v>531</v>
      </c>
      <c r="D43" s="49" t="str">
        <f>Source!G29</f>
        <v>Засыпка вручную траншей, пазух котлованов и ям, группа грунтов 1</v>
      </c>
      <c r="E43" s="31" t="str">
        <f>Source!H29</f>
        <v>100 м3 грунта</v>
      </c>
      <c r="F43" s="10">
        <f>Source!I29</f>
        <v>2.5224000000000002</v>
      </c>
      <c r="G43" s="32">
        <f>Source!AL29+Source!AM29+Source!AO29</f>
        <v>663.75</v>
      </c>
      <c r="H43" s="33"/>
      <c r="I43" s="32"/>
      <c r="J43" s="33" t="str">
        <f>Source!BO29</f>
        <v>01-02-061-1</v>
      </c>
      <c r="K43" s="33"/>
      <c r="L43" s="32"/>
      <c r="M43" s="34"/>
      <c r="S43">
        <f>ROUND((Source!FX29/100)*((ROUND(Source!AF29*Source!I29, 2)+ROUND(Source!AE29*Source!I29, 2))), 2)</f>
        <v>2125.62</v>
      </c>
      <c r="T43">
        <f>Source!X29</f>
        <v>63874.78</v>
      </c>
      <c r="U43">
        <f>ROUND((Source!FY29/100)*((ROUND(Source!AF29*Source!I29, 2)+ROUND(Source!AE29*Source!I29, 2))), 2)</f>
        <v>1016.31</v>
      </c>
      <c r="V43">
        <f>Source!Y29</f>
        <v>30340.52</v>
      </c>
    </row>
    <row r="44" spans="1:26" ht="28.5" x14ac:dyDescent="0.2">
      <c r="A44" s="48"/>
      <c r="B44" s="48"/>
      <c r="C44" s="49"/>
      <c r="D44" s="49" t="s">
        <v>525</v>
      </c>
      <c r="E44" s="31"/>
      <c r="F44" s="10"/>
      <c r="G44" s="32">
        <f>Source!AO29</f>
        <v>663.75</v>
      </c>
      <c r="H44" s="33" t="str">
        <f>Source!DG29</f>
        <v>)*1,2)*1,15)*1,15</v>
      </c>
      <c r="I44" s="32">
        <f>ROUND(Source!AF29*Source!I29, 2)</f>
        <v>2657.02</v>
      </c>
      <c r="J44" s="33"/>
      <c r="K44" s="33">
        <f>IF(Source!BA29&lt;&gt; 0, Source!BA29, 1)</f>
        <v>30.05</v>
      </c>
      <c r="L44" s="32">
        <f>Source!S29</f>
        <v>79843.47</v>
      </c>
      <c r="M44" s="34"/>
      <c r="R44">
        <f>I44</f>
        <v>2657.02</v>
      </c>
    </row>
    <row r="45" spans="1:26" ht="14.25" x14ac:dyDescent="0.2">
      <c r="A45" s="48"/>
      <c r="B45" s="48"/>
      <c r="C45" s="49"/>
      <c r="D45" s="49" t="s">
        <v>526</v>
      </c>
      <c r="E45" s="31" t="s">
        <v>527</v>
      </c>
      <c r="F45" s="10">
        <f>Source!BZ29</f>
        <v>80</v>
      </c>
      <c r="G45" s="53"/>
      <c r="H45" s="33"/>
      <c r="I45" s="32">
        <f>SUM(S43:S47)</f>
        <v>2125.62</v>
      </c>
      <c r="J45" s="35"/>
      <c r="K45" s="30">
        <f>Source!AT29</f>
        <v>80</v>
      </c>
      <c r="L45" s="32">
        <f>SUM(T43:T47)</f>
        <v>63874.78</v>
      </c>
      <c r="M45" s="34"/>
    </row>
    <row r="46" spans="1:26" ht="14.25" x14ac:dyDescent="0.2">
      <c r="A46" s="48"/>
      <c r="B46" s="48"/>
      <c r="C46" s="49"/>
      <c r="D46" s="49" t="s">
        <v>528</v>
      </c>
      <c r="E46" s="31" t="s">
        <v>527</v>
      </c>
      <c r="F46" s="10">
        <f>Source!CA29</f>
        <v>45</v>
      </c>
      <c r="G46" s="85" t="str">
        <f>CONCATENATE(" )", Source!DM29, Source!FU29, "=", Source!FY29)</f>
        <v xml:space="preserve"> )*0,85=38,25</v>
      </c>
      <c r="H46" s="86"/>
      <c r="I46" s="32">
        <f>SUM(U43:U47)</f>
        <v>1016.31</v>
      </c>
      <c r="J46" s="35"/>
      <c r="K46" s="30">
        <f>Source!AU29</f>
        <v>38</v>
      </c>
      <c r="L46" s="32">
        <f>SUM(V43:V47)</f>
        <v>30340.52</v>
      </c>
      <c r="M46" s="34"/>
    </row>
    <row r="47" spans="1:26" ht="28.5" x14ac:dyDescent="0.2">
      <c r="A47" s="50"/>
      <c r="B47" s="50"/>
      <c r="C47" s="51"/>
      <c r="D47" s="51" t="s">
        <v>529</v>
      </c>
      <c r="E47" s="36" t="s">
        <v>530</v>
      </c>
      <c r="F47" s="37">
        <f>Source!AQ29</f>
        <v>88.5</v>
      </c>
      <c r="G47" s="38"/>
      <c r="H47" s="39" t="str">
        <f>Source!DI29</f>
        <v>)*1,2)*1,15)*1,15</v>
      </c>
      <c r="I47" s="38"/>
      <c r="J47" s="39"/>
      <c r="K47" s="39"/>
      <c r="L47" s="38"/>
      <c r="M47" s="40">
        <f>Source!U29</f>
        <v>354.26981879999994</v>
      </c>
    </row>
    <row r="48" spans="1:26" ht="15" x14ac:dyDescent="0.25">
      <c r="H48" s="81">
        <f>I44+I45+I46</f>
        <v>5798.9499999999989</v>
      </c>
      <c r="I48" s="81"/>
      <c r="K48" s="81">
        <f>L44+L45+L46</f>
        <v>174058.77</v>
      </c>
      <c r="L48" s="81"/>
      <c r="M48" s="41">
        <f>Source!U29</f>
        <v>354.26981879999994</v>
      </c>
      <c r="O48" s="26">
        <f>H48</f>
        <v>5798.9499999999989</v>
      </c>
      <c r="P48" s="26">
        <f>K48</f>
        <v>174058.77</v>
      </c>
      <c r="Q48" s="26">
        <f>M48</f>
        <v>354.26981879999994</v>
      </c>
      <c r="W48">
        <f>IF(Source!BI29&lt;=1,I44+I45+I46, 0)</f>
        <v>5798.9499999999989</v>
      </c>
      <c r="X48">
        <f>IF(Source!BI29=2,I44+I45+I46, 0)</f>
        <v>0</v>
      </c>
      <c r="Y48">
        <f>IF(Source!BI29=3,I44+I45+I46, 0)</f>
        <v>0</v>
      </c>
      <c r="Z48">
        <f>IF(Source!BI29=4,I44+I45+I46, 0)</f>
        <v>0</v>
      </c>
    </row>
    <row r="49" spans="1:26" ht="105" x14ac:dyDescent="0.2">
      <c r="A49" s="48">
        <v>3</v>
      </c>
      <c r="B49" s="48" t="str">
        <f>Source!E30</f>
        <v>3</v>
      </c>
      <c r="C49" s="49" t="s">
        <v>532</v>
      </c>
      <c r="D49" s="49" t="str">
        <f>Source!G30</f>
        <v>Погрузка при автомобильных перевозках грунта растительного слоя (земля, перегной)</v>
      </c>
      <c r="E49" s="31" t="str">
        <f>Source!H30</f>
        <v>1 Т ГРУЗА</v>
      </c>
      <c r="F49" s="10">
        <f>Source!I30</f>
        <v>201.18</v>
      </c>
      <c r="G49" s="32">
        <f>Source!AL30+Source!AM30+Source!AO30</f>
        <v>3.65</v>
      </c>
      <c r="H49" s="33"/>
      <c r="I49" s="32"/>
      <c r="J49" s="33" t="str">
        <f>Source!BO30</f>
        <v>т01-01-01-039</v>
      </c>
      <c r="K49" s="33"/>
      <c r="L49" s="32"/>
      <c r="M49" s="34"/>
      <c r="S49">
        <f>ROUND((Source!FX30/100)*((ROUND(Source!AF30*Source!I30, 2)+ROUND(Source!AE30*Source!I30, 2))), 2)</f>
        <v>0</v>
      </c>
      <c r="T49">
        <f>Source!X30</f>
        <v>0</v>
      </c>
      <c r="U49">
        <f>ROUND((Source!FY30/100)*((ROUND(Source!AF30*Source!I30, 2)+ROUND(Source!AE30*Source!I30, 2))), 2)</f>
        <v>0</v>
      </c>
      <c r="V49">
        <f>Source!Y30</f>
        <v>0</v>
      </c>
    </row>
    <row r="50" spans="1:26" ht="14.25" x14ac:dyDescent="0.2">
      <c r="A50" s="48"/>
      <c r="B50" s="48"/>
      <c r="C50" s="49"/>
      <c r="D50" s="49" t="s">
        <v>151</v>
      </c>
      <c r="E50" s="31"/>
      <c r="F50" s="10"/>
      <c r="G50" s="32">
        <f>Source!AM30</f>
        <v>3.65</v>
      </c>
      <c r="H50" s="33" t="str">
        <f>Source!DE30</f>
        <v>)*1,2)*1,15</v>
      </c>
      <c r="I50" s="32">
        <f>ROUND(Source!AD30*Source!I30, 2)</f>
        <v>1186.96</v>
      </c>
      <c r="J50" s="33"/>
      <c r="K50" s="33">
        <f>IF(Source!BB30&lt;&gt; 0, Source!BB30, 1)</f>
        <v>12.57</v>
      </c>
      <c r="L50" s="32">
        <f>Source!Q30</f>
        <v>14920.11</v>
      </c>
      <c r="M50" s="34"/>
    </row>
    <row r="51" spans="1:26" ht="14.25" x14ac:dyDescent="0.2">
      <c r="A51" s="50"/>
      <c r="B51" s="50"/>
      <c r="C51" s="51"/>
      <c r="D51" s="51" t="s">
        <v>533</v>
      </c>
      <c r="E51" s="36"/>
      <c r="F51" s="37"/>
      <c r="G51" s="38">
        <f>Source!AN30</f>
        <v>0.39</v>
      </c>
      <c r="H51" s="39" t="str">
        <f>Source!DF30</f>
        <v>)*1,2)*1,15</v>
      </c>
      <c r="I51" s="42">
        <f>ROUND(Source!AE30*Source!I30, 2)</f>
        <v>281.64999999999998</v>
      </c>
      <c r="J51" s="39"/>
      <c r="K51" s="39">
        <f>IF(Source!BS30&lt;&gt; 0, Source!BS30, 1)</f>
        <v>12.57</v>
      </c>
      <c r="L51" s="42">
        <f>Source!R30</f>
        <v>3540.37</v>
      </c>
      <c r="M51" s="43"/>
      <c r="R51">
        <f>I51</f>
        <v>281.64999999999998</v>
      </c>
    </row>
    <row r="52" spans="1:26" ht="15" x14ac:dyDescent="0.25">
      <c r="H52" s="81">
        <f>I50</f>
        <v>1186.96</v>
      </c>
      <c r="I52" s="81"/>
      <c r="K52" s="81">
        <f>L50</f>
        <v>14920.11</v>
      </c>
      <c r="L52" s="81"/>
      <c r="M52" s="41">
        <f>Source!U30</f>
        <v>0</v>
      </c>
      <c r="O52" s="26">
        <f>H52</f>
        <v>1186.96</v>
      </c>
      <c r="P52" s="26">
        <f>K52</f>
        <v>14920.11</v>
      </c>
      <c r="Q52" s="26">
        <f>M52</f>
        <v>0</v>
      </c>
      <c r="W52">
        <f>IF(Source!BI30&lt;=1,I50, 0)</f>
        <v>1186.96</v>
      </c>
      <c r="X52">
        <f>IF(Source!BI30=2,I50, 0)</f>
        <v>0</v>
      </c>
      <c r="Y52">
        <f>IF(Source!BI30=3,I50, 0)</f>
        <v>0</v>
      </c>
      <c r="Z52">
        <f>IF(Source!BI30=4,I50, 0)</f>
        <v>0</v>
      </c>
    </row>
    <row r="53" spans="1:26" ht="57" x14ac:dyDescent="0.2">
      <c r="A53" s="48">
        <v>4</v>
      </c>
      <c r="B53" s="48" t="str">
        <f>Source!E31</f>
        <v>4</v>
      </c>
      <c r="C53" s="49" t="s">
        <v>534</v>
      </c>
      <c r="D53" s="49" t="str">
        <f>Source!G31</f>
        <v>Перевозка грузов I класса автомобилями-самосвалами грузоподъемностью 10 т работающих вне карьера на расстояние до 25 км</v>
      </c>
      <c r="E53" s="31" t="str">
        <f>Source!H31</f>
        <v>1 Т ГРУЗА</v>
      </c>
      <c r="F53" s="10">
        <f>Source!I31</f>
        <v>201.18</v>
      </c>
      <c r="G53" s="32">
        <f>Source!AL31+Source!AM31+Source!AO31</f>
        <v>17.32</v>
      </c>
      <c r="H53" s="33"/>
      <c r="I53" s="32"/>
      <c r="J53" s="33" t="str">
        <f>Source!BO31</f>
        <v/>
      </c>
      <c r="K53" s="33"/>
      <c r="L53" s="32"/>
      <c r="M53" s="34"/>
      <c r="S53">
        <f>ROUND((Source!FX31/100)*((ROUND(Source!AF31*Source!I31, 2)+ROUND(Source!AE31*Source!I31, 2))), 2)</f>
        <v>0</v>
      </c>
      <c r="T53">
        <f>Source!X31</f>
        <v>0</v>
      </c>
      <c r="U53">
        <f>ROUND((Source!FY31/100)*((ROUND(Source!AF31*Source!I31, 2)+ROUND(Source!AE31*Source!I31, 2))), 2)</f>
        <v>0</v>
      </c>
      <c r="V53">
        <f>Source!Y31</f>
        <v>0</v>
      </c>
    </row>
    <row r="54" spans="1:26" ht="14.25" x14ac:dyDescent="0.2">
      <c r="A54" s="50"/>
      <c r="B54" s="50"/>
      <c r="C54" s="51"/>
      <c r="D54" s="51" t="s">
        <v>151</v>
      </c>
      <c r="E54" s="36"/>
      <c r="F54" s="37"/>
      <c r="G54" s="38">
        <f>Source!AM31</f>
        <v>17.32</v>
      </c>
      <c r="H54" s="39" t="str">
        <f>Source!DE31</f>
        <v/>
      </c>
      <c r="I54" s="38">
        <f>ROUND(Source!AD31*Source!I31, 2)</f>
        <v>3484.44</v>
      </c>
      <c r="J54" s="39"/>
      <c r="K54" s="39">
        <f>IF(Source!BB31&lt;&gt; 0, Source!BB31, 1)</f>
        <v>8.56</v>
      </c>
      <c r="L54" s="38">
        <f>Source!Q31</f>
        <v>29826.79</v>
      </c>
      <c r="M54" s="43"/>
    </row>
    <row r="55" spans="1:26" ht="15" x14ac:dyDescent="0.25">
      <c r="H55" s="81">
        <f>I54</f>
        <v>3484.44</v>
      </c>
      <c r="I55" s="81"/>
      <c r="K55" s="81">
        <f>L54</f>
        <v>29826.79</v>
      </c>
      <c r="L55" s="81"/>
      <c r="M55" s="41">
        <f>Source!U31</f>
        <v>0</v>
      </c>
      <c r="O55" s="26">
        <f>H55</f>
        <v>3484.44</v>
      </c>
      <c r="P55" s="26">
        <f>K55</f>
        <v>29826.79</v>
      </c>
      <c r="Q55" s="26">
        <f>M55</f>
        <v>0</v>
      </c>
      <c r="W55">
        <f>IF(Source!BI31&lt;=1,I54, 0)</f>
        <v>3484.44</v>
      </c>
      <c r="X55">
        <f>IF(Source!BI31=2,I54, 0)</f>
        <v>0</v>
      </c>
      <c r="Y55">
        <f>IF(Source!BI31=3,I54, 0)</f>
        <v>0</v>
      </c>
      <c r="Z55">
        <f>IF(Source!BI31=4,I54, 0)</f>
        <v>0</v>
      </c>
    </row>
    <row r="56" spans="1:26" ht="130.5" x14ac:dyDescent="0.2">
      <c r="A56" s="48">
        <v>5</v>
      </c>
      <c r="B56" s="48" t="str">
        <f>Source!E32</f>
        <v>5</v>
      </c>
      <c r="C56" s="49" t="s">
        <v>535</v>
      </c>
      <c r="D56" s="49" t="str">
        <f>Source!G32</f>
        <v>Устройство трубопроводов из хризотилцементных труб с соединением полиэтиленовыми муфтами до 2 отверстий</v>
      </c>
      <c r="E56" s="31" t="str">
        <f>Source!H32</f>
        <v>1 канало-километр трубопровода</v>
      </c>
      <c r="F56" s="10">
        <f>Source!I32</f>
        <v>0.06</v>
      </c>
      <c r="G56" s="32">
        <f>Source!AL32+Source!AM32+Source!AO32</f>
        <v>17107.88</v>
      </c>
      <c r="H56" s="33"/>
      <c r="I56" s="32"/>
      <c r="J56" s="33" t="str">
        <f>Source!BO32</f>
        <v>34-02-001-3</v>
      </c>
      <c r="K56" s="33"/>
      <c r="L56" s="32"/>
      <c r="M56" s="34"/>
      <c r="S56">
        <f>ROUND((Source!FX32/100)*((ROUND(Source!AF32*Source!I32, 2)+ROUND(Source!AE32*Source!I32, 2))), 2)</f>
        <v>116</v>
      </c>
      <c r="T56">
        <f>Source!X32</f>
        <v>3485.83</v>
      </c>
      <c r="U56">
        <f>ROUND((Source!FY32/100)*((ROUND(Source!AF32*Source!I32, 2)+ROUND(Source!AE32*Source!I32, 2))), 2)</f>
        <v>64.09</v>
      </c>
      <c r="V56">
        <f>Source!Y32</f>
        <v>1917.21</v>
      </c>
    </row>
    <row r="57" spans="1:26" ht="28.5" x14ac:dyDescent="0.2">
      <c r="A57" s="48"/>
      <c r="B57" s="48"/>
      <c r="C57" s="49"/>
      <c r="D57" s="49" t="s">
        <v>525</v>
      </c>
      <c r="E57" s="31"/>
      <c r="F57" s="10"/>
      <c r="G57" s="32">
        <f>Source!AO32</f>
        <v>1218.24</v>
      </c>
      <c r="H57" s="33" t="str">
        <f>Source!DG32</f>
        <v>)*1,2)*1,15)*1,15</v>
      </c>
      <c r="I57" s="32">
        <f>ROUND(Source!AF32*Source!I32, 2)</f>
        <v>116</v>
      </c>
      <c r="J57" s="33"/>
      <c r="K57" s="33">
        <f>IF(Source!BA32&lt;&gt; 0, Source!BA32, 1)</f>
        <v>30.05</v>
      </c>
      <c r="L57" s="32">
        <f>Source!S32</f>
        <v>3485.83</v>
      </c>
      <c r="M57" s="34"/>
      <c r="R57">
        <f>I57</f>
        <v>116</v>
      </c>
    </row>
    <row r="58" spans="1:26" ht="14.25" x14ac:dyDescent="0.2">
      <c r="A58" s="48"/>
      <c r="B58" s="48"/>
      <c r="C58" s="49"/>
      <c r="D58" s="49" t="s">
        <v>536</v>
      </c>
      <c r="E58" s="31"/>
      <c r="F58" s="10"/>
      <c r="G58" s="32">
        <f>Source!AL32</f>
        <v>15889.64</v>
      </c>
      <c r="H58" s="33" t="str">
        <f>Source!DD32</f>
        <v/>
      </c>
      <c r="I58" s="32">
        <f>ROUND(Source!AC32*Source!I32, 2)</f>
        <v>953.38</v>
      </c>
      <c r="J58" s="33"/>
      <c r="K58" s="33">
        <f>IF(Source!BC32&lt;&gt; 0, Source!BC32, 1)</f>
        <v>5.86</v>
      </c>
      <c r="L58" s="32">
        <f>Source!P32</f>
        <v>5586.8</v>
      </c>
      <c r="M58" s="34"/>
    </row>
    <row r="59" spans="1:26" ht="14.25" x14ac:dyDescent="0.2">
      <c r="A59" s="48"/>
      <c r="B59" s="48"/>
      <c r="C59" s="49"/>
      <c r="D59" s="49" t="s">
        <v>526</v>
      </c>
      <c r="E59" s="31" t="s">
        <v>527</v>
      </c>
      <c r="F59" s="10">
        <f>Source!BZ32</f>
        <v>100</v>
      </c>
      <c r="G59" s="53"/>
      <c r="H59" s="33"/>
      <c r="I59" s="32">
        <f>SUM(S56:S61)</f>
        <v>116</v>
      </c>
      <c r="J59" s="35"/>
      <c r="K59" s="30">
        <f>Source!AT32</f>
        <v>100</v>
      </c>
      <c r="L59" s="32">
        <f>SUM(T56:T61)</f>
        <v>3485.83</v>
      </c>
      <c r="M59" s="34"/>
    </row>
    <row r="60" spans="1:26" ht="14.25" x14ac:dyDescent="0.2">
      <c r="A60" s="48"/>
      <c r="B60" s="48"/>
      <c r="C60" s="49"/>
      <c r="D60" s="49" t="s">
        <v>528</v>
      </c>
      <c r="E60" s="31" t="s">
        <v>527</v>
      </c>
      <c r="F60" s="10">
        <f>Source!CA32</f>
        <v>65</v>
      </c>
      <c r="G60" s="85" t="str">
        <f>CONCATENATE(" )", Source!DM32, Source!FU32, "=", Source!FY32)</f>
        <v xml:space="preserve"> )*0,85=55,25</v>
      </c>
      <c r="H60" s="86"/>
      <c r="I60" s="32">
        <f>SUM(U56:U61)</f>
        <v>64.09</v>
      </c>
      <c r="J60" s="35"/>
      <c r="K60" s="30">
        <f>Source!AU32</f>
        <v>55</v>
      </c>
      <c r="L60" s="32">
        <f>SUM(V56:V61)</f>
        <v>1917.21</v>
      </c>
      <c r="M60" s="34"/>
    </row>
    <row r="61" spans="1:26" ht="28.5" x14ac:dyDescent="0.2">
      <c r="A61" s="50"/>
      <c r="B61" s="50"/>
      <c r="C61" s="51"/>
      <c r="D61" s="51" t="s">
        <v>529</v>
      </c>
      <c r="E61" s="36" t="s">
        <v>530</v>
      </c>
      <c r="F61" s="37">
        <f>Source!AQ32</f>
        <v>144</v>
      </c>
      <c r="G61" s="38"/>
      <c r="H61" s="39" t="str">
        <f>Source!DI32</f>
        <v>)*1,2)*1,15)*1,15</v>
      </c>
      <c r="I61" s="38"/>
      <c r="J61" s="39"/>
      <c r="K61" s="39"/>
      <c r="L61" s="38"/>
      <c r="M61" s="40">
        <f>Source!U32</f>
        <v>13.711679999999996</v>
      </c>
    </row>
    <row r="62" spans="1:26" ht="15" x14ac:dyDescent="0.25">
      <c r="H62" s="81">
        <f>I57+I58+I59+I60</f>
        <v>1249.47</v>
      </c>
      <c r="I62" s="81"/>
      <c r="K62" s="81">
        <f>L57+L58+L59+L60</f>
        <v>14475.670000000002</v>
      </c>
      <c r="L62" s="81"/>
      <c r="M62" s="41">
        <f>Source!U32</f>
        <v>13.711679999999996</v>
      </c>
      <c r="O62" s="26">
        <f>H62</f>
        <v>1249.47</v>
      </c>
      <c r="P62" s="26">
        <f>K62</f>
        <v>14475.670000000002</v>
      </c>
      <c r="Q62" s="26">
        <f>M62</f>
        <v>13.711679999999996</v>
      </c>
      <c r="W62">
        <f>IF(Source!BI32&lt;=1,I57+I58+I59+I60, 0)</f>
        <v>1249.47</v>
      </c>
      <c r="X62">
        <f>IF(Source!BI32=2,I57+I58+I59+I60, 0)</f>
        <v>0</v>
      </c>
      <c r="Y62">
        <f>IF(Source!BI32=3,I57+I58+I59+I60, 0)</f>
        <v>0</v>
      </c>
      <c r="Z62">
        <f>IF(Source!BI32=4,I57+I58+I59+I60, 0)</f>
        <v>0</v>
      </c>
    </row>
    <row r="63" spans="1:26" ht="105" x14ac:dyDescent="0.2">
      <c r="A63" s="48">
        <v>6</v>
      </c>
      <c r="B63" s="48" t="str">
        <f>Source!E33</f>
        <v>6</v>
      </c>
      <c r="C63" s="49" t="s">
        <v>537</v>
      </c>
      <c r="D63" s="49" t="str">
        <f>Source!G33</f>
        <v>Герметизация канала кабельной канализации занятого</v>
      </c>
      <c r="E63" s="31" t="str">
        <f>Source!H33</f>
        <v>1 канал</v>
      </c>
      <c r="F63" s="10">
        <f>Source!I33</f>
        <v>10</v>
      </c>
      <c r="G63" s="32">
        <f>Source!AL33+Source!AM33+Source!AO33</f>
        <v>138.57000000000002</v>
      </c>
      <c r="H63" s="33"/>
      <c r="I63" s="32"/>
      <c r="J63" s="33" t="str">
        <f>Source!BO33</f>
        <v>м10-06-034-28</v>
      </c>
      <c r="K63" s="33"/>
      <c r="L63" s="32"/>
      <c r="M63" s="34"/>
      <c r="S63">
        <f>ROUND((Source!FX33/100)*((ROUND(Source!AF33*Source!I33, 2)+ROUND(Source!AE33*Source!I33, 2))), 2)</f>
        <v>70.5</v>
      </c>
      <c r="T63">
        <f>Source!X33</f>
        <v>2118.5300000000002</v>
      </c>
      <c r="U63">
        <f>ROUND((Source!FY33/100)*((ROUND(Source!AF33*Source!I33, 2)+ROUND(Source!AE33*Source!I33, 2))), 2)</f>
        <v>45.83</v>
      </c>
      <c r="V63">
        <f>Source!Y33</f>
        <v>1377.04</v>
      </c>
    </row>
    <row r="64" spans="1:26" ht="14.25" x14ac:dyDescent="0.2">
      <c r="A64" s="48"/>
      <c r="B64" s="48"/>
      <c r="C64" s="49"/>
      <c r="D64" s="49" t="s">
        <v>525</v>
      </c>
      <c r="E64" s="31"/>
      <c r="F64" s="10"/>
      <c r="G64" s="32">
        <f>Source!AO33</f>
        <v>5.1100000000000003</v>
      </c>
      <c r="H64" s="33" t="str">
        <f>Source!DG33</f>
        <v>)*1,2)*1,15</v>
      </c>
      <c r="I64" s="32">
        <f>ROUND(Source!AF33*Source!I33, 2)</f>
        <v>70.5</v>
      </c>
      <c r="J64" s="33"/>
      <c r="K64" s="33">
        <f>IF(Source!BA33&lt;&gt; 0, Source!BA33, 1)</f>
        <v>30.05</v>
      </c>
      <c r="L64" s="32">
        <f>Source!S33</f>
        <v>2118.5300000000002</v>
      </c>
      <c r="M64" s="34"/>
      <c r="R64">
        <f>I64</f>
        <v>70.5</v>
      </c>
    </row>
    <row r="65" spans="1:26" ht="14.25" x14ac:dyDescent="0.2">
      <c r="A65" s="48"/>
      <c r="B65" s="48"/>
      <c r="C65" s="49"/>
      <c r="D65" s="49" t="s">
        <v>536</v>
      </c>
      <c r="E65" s="31"/>
      <c r="F65" s="10"/>
      <c r="G65" s="32">
        <f>Source!AL33</f>
        <v>133.46</v>
      </c>
      <c r="H65" s="33" t="str">
        <f>Source!DD33</f>
        <v/>
      </c>
      <c r="I65" s="32">
        <f>ROUND(Source!AC33*Source!I33, 2)</f>
        <v>1334.6</v>
      </c>
      <c r="J65" s="33"/>
      <c r="K65" s="33">
        <f>IF(Source!BC33&lt;&gt; 0, Source!BC33, 1)</f>
        <v>2.93</v>
      </c>
      <c r="L65" s="32">
        <f>Source!P33</f>
        <v>3910.38</v>
      </c>
      <c r="M65" s="34"/>
    </row>
    <row r="66" spans="1:26" ht="14.25" x14ac:dyDescent="0.2">
      <c r="A66" s="48"/>
      <c r="B66" s="48"/>
      <c r="C66" s="49"/>
      <c r="D66" s="49" t="s">
        <v>526</v>
      </c>
      <c r="E66" s="31" t="s">
        <v>527</v>
      </c>
      <c r="F66" s="10">
        <f>Source!BZ33</f>
        <v>100</v>
      </c>
      <c r="G66" s="53"/>
      <c r="H66" s="33"/>
      <c r="I66" s="32">
        <f>SUM(S63:S70)</f>
        <v>70.5</v>
      </c>
      <c r="J66" s="35"/>
      <c r="K66" s="30">
        <f>Source!AT33</f>
        <v>100</v>
      </c>
      <c r="L66" s="32">
        <f>SUM(T63:T70)</f>
        <v>2118.5300000000002</v>
      </c>
      <c r="M66" s="34"/>
    </row>
    <row r="67" spans="1:26" ht="14.25" x14ac:dyDescent="0.2">
      <c r="A67" s="48"/>
      <c r="B67" s="48"/>
      <c r="C67" s="49"/>
      <c r="D67" s="49" t="s">
        <v>528</v>
      </c>
      <c r="E67" s="31" t="s">
        <v>527</v>
      </c>
      <c r="F67" s="10">
        <f>Source!CA33</f>
        <v>65</v>
      </c>
      <c r="G67" s="53"/>
      <c r="H67" s="33"/>
      <c r="I67" s="32">
        <f>SUM(U63:U70)</f>
        <v>45.83</v>
      </c>
      <c r="J67" s="35"/>
      <c r="K67" s="30">
        <f>Source!AU33</f>
        <v>65</v>
      </c>
      <c r="L67" s="32">
        <f>SUM(V63:V70)</f>
        <v>1377.04</v>
      </c>
      <c r="M67" s="34"/>
    </row>
    <row r="68" spans="1:26" ht="14.25" x14ac:dyDescent="0.2">
      <c r="A68" s="48"/>
      <c r="B68" s="48"/>
      <c r="C68" s="49"/>
      <c r="D68" s="49" t="s">
        <v>529</v>
      </c>
      <c r="E68" s="31" t="s">
        <v>530</v>
      </c>
      <c r="F68" s="10">
        <f>Source!AQ33</f>
        <v>0.55000000000000004</v>
      </c>
      <c r="G68" s="32"/>
      <c r="H68" s="33" t="str">
        <f>Source!DI33</f>
        <v>)*1,2)*1,15</v>
      </c>
      <c r="I68" s="32"/>
      <c r="J68" s="33"/>
      <c r="K68" s="33"/>
      <c r="L68" s="32"/>
      <c r="M68" s="44">
        <f>Source!U33</f>
        <v>7.59</v>
      </c>
    </row>
    <row r="69" spans="1:26" ht="28.5" x14ac:dyDescent="0.2">
      <c r="A69" s="48">
        <v>7</v>
      </c>
      <c r="B69" s="48" t="str">
        <f>Source!E34</f>
        <v>6,1</v>
      </c>
      <c r="C69" s="49" t="s">
        <v>538</v>
      </c>
      <c r="D69" s="49" t="str">
        <f>Source!G34</f>
        <v>Пенополиуретан (ППУ) полимер Вилан-405 (баллон 1л)</v>
      </c>
      <c r="E69" s="31" t="str">
        <f>Source!H34</f>
        <v>шт.</v>
      </c>
      <c r="F69" s="10">
        <f>Source!I34</f>
        <v>-20</v>
      </c>
      <c r="G69" s="32">
        <f>Source!AL34+Source!AM34+Source!AO34</f>
        <v>66.680000000000007</v>
      </c>
      <c r="H69" s="45" t="s">
        <v>6</v>
      </c>
      <c r="I69" s="32">
        <f>ROUND(Source!AC34*Source!I34, 2)+ROUND(Source!AD34*Source!I34, 2)+ROUND(Source!AF34*Source!I34, 2)</f>
        <v>-1333.6</v>
      </c>
      <c r="J69" s="33"/>
      <c r="K69" s="33">
        <f>IF(Source!BC34&lt;&gt; 0, Source!BC34, 1)</f>
        <v>2.91</v>
      </c>
      <c r="L69" s="32">
        <f>Source!O34</f>
        <v>-3880.78</v>
      </c>
      <c r="M69" s="34"/>
      <c r="S69">
        <f>ROUND((Source!FX34/100)*((ROUND(Source!AF34*Source!I34, 2)+ROUND(Source!AE34*Source!I34, 2))), 2)</f>
        <v>0</v>
      </c>
      <c r="T69">
        <f>Source!X34</f>
        <v>0</v>
      </c>
      <c r="U69">
        <f>ROUND((Source!FY34/100)*((ROUND(Source!AF34*Source!I34, 2)+ROUND(Source!AE34*Source!I34, 2))), 2)</f>
        <v>0</v>
      </c>
      <c r="V69">
        <f>Source!Y34</f>
        <v>0</v>
      </c>
      <c r="W69">
        <f>IF(Source!BI34&lt;=1,I69, 0)</f>
        <v>0</v>
      </c>
      <c r="X69">
        <f>IF(Source!BI34=2,I69, 0)</f>
        <v>-1333.6</v>
      </c>
      <c r="Y69">
        <f>IF(Source!BI34=3,I69, 0)</f>
        <v>0</v>
      </c>
      <c r="Z69">
        <f>IF(Source!BI34=4,I69, 0)</f>
        <v>0</v>
      </c>
    </row>
    <row r="70" spans="1:26" ht="156.75" x14ac:dyDescent="0.2">
      <c r="A70" s="50">
        <v>8</v>
      </c>
      <c r="B70" s="50" t="str">
        <f>Source!E35</f>
        <v>6,2</v>
      </c>
      <c r="C70" s="51" t="s">
        <v>86</v>
      </c>
      <c r="D70" s="51" t="str">
        <f>Source!G35</f>
        <v>Уплотнитель кабельных проходов термоусаживаемый УКПТ 175/55/300</v>
      </c>
      <c r="E70" s="36" t="str">
        <f>Source!H35</f>
        <v>шт.</v>
      </c>
      <c r="F70" s="37">
        <f>Source!I35</f>
        <v>20</v>
      </c>
      <c r="G70" s="38">
        <f>Source!AL35+Source!AM35+Source!AO35</f>
        <v>352.18</v>
      </c>
      <c r="H70" s="46" t="s">
        <v>6</v>
      </c>
      <c r="I70" s="38">
        <f>ROUND(Source!AC35*Source!I35, 2)+ROUND(Source!AD35*Source!I35, 2)+ROUND(Source!AF35*Source!I35, 2)</f>
        <v>7043.6</v>
      </c>
      <c r="J70" s="39"/>
      <c r="K70" s="39">
        <f>IF(Source!BC35&lt;&gt; 0, Source!BC35, 1)</f>
        <v>1</v>
      </c>
      <c r="L70" s="38">
        <f>Source!O35</f>
        <v>7043.6</v>
      </c>
      <c r="M70" s="43"/>
      <c r="S70">
        <f>ROUND((Source!FX35/100)*((ROUND(Source!AF35*Source!I35, 2)+ROUND(Source!AE35*Source!I35, 2))), 2)</f>
        <v>0</v>
      </c>
      <c r="T70">
        <f>Source!X35</f>
        <v>0</v>
      </c>
      <c r="U70">
        <f>ROUND((Source!FY35/100)*((ROUND(Source!AF35*Source!I35, 2)+ROUND(Source!AE35*Source!I35, 2))), 2)</f>
        <v>0</v>
      </c>
      <c r="V70">
        <f>Source!Y35</f>
        <v>0</v>
      </c>
      <c r="W70">
        <f>IF(Source!BI35&lt;=1,I70, 0)</f>
        <v>0</v>
      </c>
      <c r="X70">
        <f>IF(Source!BI35=2,I70, 0)</f>
        <v>7043.6</v>
      </c>
      <c r="Y70">
        <f>IF(Source!BI35=3,I70, 0)</f>
        <v>0</v>
      </c>
      <c r="Z70">
        <f>IF(Source!BI35=4,I70, 0)</f>
        <v>0</v>
      </c>
    </row>
    <row r="71" spans="1:26" ht="15" x14ac:dyDescent="0.25">
      <c r="H71" s="81">
        <f>I64+I65+I66+I67+SUM(I69:I70)</f>
        <v>7231.43</v>
      </c>
      <c r="I71" s="81"/>
      <c r="K71" s="81">
        <f>L64+L65+L66+L67+SUM(L69:L70)</f>
        <v>12687.3</v>
      </c>
      <c r="L71" s="81"/>
      <c r="M71" s="41">
        <f>Source!U33</f>
        <v>7.59</v>
      </c>
      <c r="O71" s="26">
        <f>H71</f>
        <v>7231.43</v>
      </c>
      <c r="P71" s="26">
        <f>K71</f>
        <v>12687.3</v>
      </c>
      <c r="Q71" s="26">
        <f>M71</f>
        <v>7.59</v>
      </c>
      <c r="W71">
        <f>IF(Source!BI33&lt;=1,I64+I65+I66+I67, 0)</f>
        <v>0</v>
      </c>
      <c r="X71">
        <f>IF(Source!BI33=2,I64+I65+I66+I67, 0)</f>
        <v>1521.4299999999998</v>
      </c>
      <c r="Y71">
        <f>IF(Source!BI33=3,I64+I65+I66+I67, 0)</f>
        <v>0</v>
      </c>
      <c r="Z71">
        <f>IF(Source!BI33=4,I64+I65+I66+I67, 0)</f>
        <v>0</v>
      </c>
    </row>
    <row r="72" spans="1:26" ht="105" x14ac:dyDescent="0.2">
      <c r="A72" s="48">
        <v>9</v>
      </c>
      <c r="B72" s="48" t="str">
        <f>Source!E36</f>
        <v>7</v>
      </c>
      <c r="C72" s="49" t="s">
        <v>539</v>
      </c>
      <c r="D72" s="49" t="str">
        <f>Source!G36</f>
        <v>Труба стальная по установленным конструкциям, в готовых бороздах, по основанию пола, диаметр до 100 мм</v>
      </c>
      <c r="E72" s="31" t="str">
        <f>Source!H36</f>
        <v>100 м</v>
      </c>
      <c r="F72" s="10">
        <f>Source!I36</f>
        <v>1</v>
      </c>
      <c r="G72" s="32">
        <f>Source!AL36+Source!AM36+Source!AO36</f>
        <v>898.19</v>
      </c>
      <c r="H72" s="33"/>
      <c r="I72" s="32"/>
      <c r="J72" s="33" t="str">
        <f>Source!BO36</f>
        <v>м08-02-407-10</v>
      </c>
      <c r="K72" s="33"/>
      <c r="L72" s="32"/>
      <c r="M72" s="34"/>
      <c r="S72">
        <f>ROUND((Source!FX36/100)*((ROUND(Source!AF36*Source!I36, 2)+ROUND(Source!AE36*Source!I36, 2))), 2)</f>
        <v>564.03</v>
      </c>
      <c r="T72">
        <f>Source!X36</f>
        <v>16949.23</v>
      </c>
      <c r="U72">
        <f>ROUND((Source!FY36/100)*((ROUND(Source!AF36*Source!I36, 2)+ROUND(Source!AE36*Source!I36, 2))), 2)</f>
        <v>385.92</v>
      </c>
      <c r="V72">
        <f>Source!Y36</f>
        <v>11596.84</v>
      </c>
    </row>
    <row r="73" spans="1:26" ht="14.25" x14ac:dyDescent="0.2">
      <c r="A73" s="48"/>
      <c r="B73" s="48"/>
      <c r="C73" s="49"/>
      <c r="D73" s="49" t="s">
        <v>525</v>
      </c>
      <c r="E73" s="31"/>
      <c r="F73" s="10"/>
      <c r="G73" s="32">
        <f>Source!AO36</f>
        <v>409.84</v>
      </c>
      <c r="H73" s="33" t="str">
        <f>Source!DG36</f>
        <v>)*1,2)*1,15</v>
      </c>
      <c r="I73" s="32">
        <f>ROUND(Source!AF36*Source!I36, 2)</f>
        <v>565.58000000000004</v>
      </c>
      <c r="J73" s="33"/>
      <c r="K73" s="33">
        <f>IF(Source!BA36&lt;&gt; 0, Source!BA36, 1)</f>
        <v>30.05</v>
      </c>
      <c r="L73" s="32">
        <f>Source!S36</f>
        <v>16995.68</v>
      </c>
      <c r="M73" s="34"/>
      <c r="R73">
        <f>I73</f>
        <v>565.58000000000004</v>
      </c>
    </row>
    <row r="74" spans="1:26" ht="14.25" x14ac:dyDescent="0.2">
      <c r="A74" s="48"/>
      <c r="B74" s="48"/>
      <c r="C74" s="49"/>
      <c r="D74" s="49" t="s">
        <v>151</v>
      </c>
      <c r="E74" s="31"/>
      <c r="F74" s="10"/>
      <c r="G74" s="32">
        <f>Source!AM36</f>
        <v>362.49</v>
      </c>
      <c r="H74" s="33" t="str">
        <f>Source!DE36</f>
        <v>)*1,2)*1,15</v>
      </c>
      <c r="I74" s="32">
        <f>ROUND(Source!AD36*Source!I36, 2)</f>
        <v>500.24</v>
      </c>
      <c r="J74" s="33"/>
      <c r="K74" s="33">
        <f>IF(Source!BB36&lt;&gt; 0, Source!BB36, 1)</f>
        <v>8.65</v>
      </c>
      <c r="L74" s="32">
        <f>Source!Q36</f>
        <v>4327.08</v>
      </c>
      <c r="M74" s="34"/>
    </row>
    <row r="75" spans="1:26" ht="14.25" x14ac:dyDescent="0.2">
      <c r="A75" s="48"/>
      <c r="B75" s="48"/>
      <c r="C75" s="49"/>
      <c r="D75" s="49" t="s">
        <v>533</v>
      </c>
      <c r="E75" s="31"/>
      <c r="F75" s="10"/>
      <c r="G75" s="32">
        <f>Source!AN36</f>
        <v>20.39</v>
      </c>
      <c r="H75" s="33" t="str">
        <f>Source!DF36</f>
        <v>)*1,2)*1,15</v>
      </c>
      <c r="I75" s="47">
        <f>ROUND(Source!AE36*Source!I36, 2)</f>
        <v>28.14</v>
      </c>
      <c r="J75" s="33"/>
      <c r="K75" s="33">
        <f>IF(Source!BS36&lt;&gt; 0, Source!BS36, 1)</f>
        <v>30.05</v>
      </c>
      <c r="L75" s="47">
        <f>Source!R36</f>
        <v>845.61</v>
      </c>
      <c r="M75" s="34"/>
      <c r="R75">
        <f>I75</f>
        <v>28.14</v>
      </c>
    </row>
    <row r="76" spans="1:26" ht="14.25" x14ac:dyDescent="0.2">
      <c r="A76" s="48"/>
      <c r="B76" s="48"/>
      <c r="C76" s="49"/>
      <c r="D76" s="49" t="s">
        <v>536</v>
      </c>
      <c r="E76" s="31"/>
      <c r="F76" s="10"/>
      <c r="G76" s="32">
        <f>Source!AL36</f>
        <v>125.86</v>
      </c>
      <c r="H76" s="33" t="str">
        <f>Source!DD36</f>
        <v/>
      </c>
      <c r="I76" s="32">
        <f>ROUND(Source!AC36*Source!I36, 2)</f>
        <v>125.86</v>
      </c>
      <c r="J76" s="33"/>
      <c r="K76" s="33">
        <f>IF(Source!BC36&lt;&gt; 0, Source!BC36, 1)</f>
        <v>11.96</v>
      </c>
      <c r="L76" s="32">
        <f>Source!P36</f>
        <v>1505.29</v>
      </c>
      <c r="M76" s="34"/>
    </row>
    <row r="77" spans="1:26" ht="14.25" x14ac:dyDescent="0.2">
      <c r="A77" s="48"/>
      <c r="B77" s="48"/>
      <c r="C77" s="49"/>
      <c r="D77" s="49" t="s">
        <v>526</v>
      </c>
      <c r="E77" s="31" t="s">
        <v>527</v>
      </c>
      <c r="F77" s="10">
        <f>Source!BZ36</f>
        <v>95</v>
      </c>
      <c r="G77" s="53"/>
      <c r="H77" s="33"/>
      <c r="I77" s="32">
        <f>SUM(S72:S81)</f>
        <v>564.03</v>
      </c>
      <c r="J77" s="35"/>
      <c r="K77" s="30">
        <f>Source!AT36</f>
        <v>95</v>
      </c>
      <c r="L77" s="32">
        <f>SUM(T72:T81)</f>
        <v>16949.23</v>
      </c>
      <c r="M77" s="34"/>
    </row>
    <row r="78" spans="1:26" ht="14.25" x14ac:dyDescent="0.2">
      <c r="A78" s="48"/>
      <c r="B78" s="48"/>
      <c r="C78" s="49"/>
      <c r="D78" s="49" t="s">
        <v>528</v>
      </c>
      <c r="E78" s="31" t="s">
        <v>527</v>
      </c>
      <c r="F78" s="10">
        <f>Source!CA36</f>
        <v>65</v>
      </c>
      <c r="G78" s="53"/>
      <c r="H78" s="33"/>
      <c r="I78" s="32">
        <f>SUM(U72:U81)</f>
        <v>385.92</v>
      </c>
      <c r="J78" s="35"/>
      <c r="K78" s="30">
        <f>Source!AU36</f>
        <v>65</v>
      </c>
      <c r="L78" s="32">
        <f>SUM(V72:V81)</f>
        <v>11596.84</v>
      </c>
      <c r="M78" s="34"/>
    </row>
    <row r="79" spans="1:26" ht="14.25" x14ac:dyDescent="0.2">
      <c r="A79" s="48"/>
      <c r="B79" s="48"/>
      <c r="C79" s="49"/>
      <c r="D79" s="49" t="s">
        <v>529</v>
      </c>
      <c r="E79" s="31" t="s">
        <v>530</v>
      </c>
      <c r="F79" s="10">
        <f>Source!AQ36</f>
        <v>43.6</v>
      </c>
      <c r="G79" s="32"/>
      <c r="H79" s="33" t="str">
        <f>Source!DI36</f>
        <v>)*1,2)*1,15</v>
      </c>
      <c r="I79" s="32"/>
      <c r="J79" s="33"/>
      <c r="K79" s="33"/>
      <c r="L79" s="32"/>
      <c r="M79" s="44">
        <f>Source!U36</f>
        <v>60.167999999999992</v>
      </c>
    </row>
    <row r="80" spans="1:26" ht="28.5" x14ac:dyDescent="0.2">
      <c r="A80" s="48">
        <v>10</v>
      </c>
      <c r="B80" s="48" t="str">
        <f>Source!E37</f>
        <v>7,1</v>
      </c>
      <c r="C80" s="49" t="s">
        <v>540</v>
      </c>
      <c r="D80" s="49" t="str">
        <f>Source!G37</f>
        <v>Перемычки гибкие, тип ПГС-50</v>
      </c>
      <c r="E80" s="31" t="str">
        <f>Source!H37</f>
        <v>10 шт.</v>
      </c>
      <c r="F80" s="10">
        <f>Source!I37</f>
        <v>-0.6</v>
      </c>
      <c r="G80" s="32">
        <f>Source!AL37+Source!AM37+Source!AO37</f>
        <v>40.9</v>
      </c>
      <c r="H80" s="45" t="s">
        <v>6</v>
      </c>
      <c r="I80" s="32">
        <f>ROUND(Source!AC37*Source!I37, 2)+ROUND(Source!AD37*Source!I37, 2)+ROUND(Source!AF37*Source!I37, 2)</f>
        <v>-24.54</v>
      </c>
      <c r="J80" s="33"/>
      <c r="K80" s="33">
        <f>IF(Source!BC37&lt;&gt; 0, Source!BC37, 1)</f>
        <v>24.3</v>
      </c>
      <c r="L80" s="32">
        <f>Source!O37</f>
        <v>-596.32000000000005</v>
      </c>
      <c r="M80" s="34"/>
      <c r="S80">
        <f>ROUND((Source!FX37/100)*((ROUND(Source!AF37*Source!I37, 2)+ROUND(Source!AE37*Source!I37, 2))), 2)</f>
        <v>0</v>
      </c>
      <c r="T80">
        <f>Source!X37</f>
        <v>0</v>
      </c>
      <c r="U80">
        <f>ROUND((Source!FY37/100)*((ROUND(Source!AF37*Source!I37, 2)+ROUND(Source!AE37*Source!I37, 2))), 2)</f>
        <v>0</v>
      </c>
      <c r="V80">
        <f>Source!Y37</f>
        <v>0</v>
      </c>
      <c r="W80">
        <f>IF(Source!BI37&lt;=1,I80, 0)</f>
        <v>0</v>
      </c>
      <c r="X80">
        <f>IF(Source!BI37=2,I80, 0)</f>
        <v>-24.54</v>
      </c>
      <c r="Y80">
        <f>IF(Source!BI37=3,I80, 0)</f>
        <v>0</v>
      </c>
      <c r="Z80">
        <f>IF(Source!BI37=4,I80, 0)</f>
        <v>0</v>
      </c>
    </row>
    <row r="81" spans="1:26" ht="71.25" x14ac:dyDescent="0.2">
      <c r="A81" s="50">
        <v>11</v>
      </c>
      <c r="B81" s="50" t="str">
        <f>Source!E38</f>
        <v>7,2</v>
      </c>
      <c r="C81" s="51" t="s">
        <v>541</v>
      </c>
      <c r="D81" s="51" t="str">
        <f>Source!G38</f>
        <v>Трубы стальные сварные водогазопроводные с резьбой оцинкованные легкие, диаметр условного прохода 100 мм, толщина стенки 4 мм</v>
      </c>
      <c r="E81" s="36" t="str">
        <f>Source!H38</f>
        <v>м</v>
      </c>
      <c r="F81" s="37">
        <f>Source!I38</f>
        <v>100</v>
      </c>
      <c r="G81" s="38">
        <f>Source!AL38+Source!AM38+Source!AO38</f>
        <v>82.32</v>
      </c>
      <c r="H81" s="46" t="s">
        <v>6</v>
      </c>
      <c r="I81" s="38">
        <f>ROUND(Source!AC38*Source!I38, 2)+ROUND(Source!AD38*Source!I38, 2)+ROUND(Source!AF38*Source!I38, 2)</f>
        <v>8232</v>
      </c>
      <c r="J81" s="39"/>
      <c r="K81" s="39">
        <f>IF(Source!BC38&lt;&gt; 0, Source!BC38, 1)</f>
        <v>7.49</v>
      </c>
      <c r="L81" s="38">
        <f>Source!O38</f>
        <v>61657.68</v>
      </c>
      <c r="M81" s="43"/>
      <c r="S81">
        <f>ROUND((Source!FX38/100)*((ROUND(Source!AF38*Source!I38, 2)+ROUND(Source!AE38*Source!I38, 2))), 2)</f>
        <v>0</v>
      </c>
      <c r="T81">
        <f>Source!X38</f>
        <v>0</v>
      </c>
      <c r="U81">
        <f>ROUND((Source!FY38/100)*((ROUND(Source!AF38*Source!I38, 2)+ROUND(Source!AE38*Source!I38, 2))), 2)</f>
        <v>0</v>
      </c>
      <c r="V81">
        <f>Source!Y38</f>
        <v>0</v>
      </c>
      <c r="W81">
        <f>IF(Source!BI38&lt;=1,I81, 0)</f>
        <v>8232</v>
      </c>
      <c r="X81">
        <f>IF(Source!BI38=2,I81, 0)</f>
        <v>0</v>
      </c>
      <c r="Y81">
        <f>IF(Source!BI38=3,I81, 0)</f>
        <v>0</v>
      </c>
      <c r="Z81">
        <f>IF(Source!BI38=4,I81, 0)</f>
        <v>0</v>
      </c>
    </row>
    <row r="82" spans="1:26" ht="15" x14ac:dyDescent="0.25">
      <c r="H82" s="81">
        <f>I73+I74+I76+I77+I78+SUM(I80:I81)</f>
        <v>10349.09</v>
      </c>
      <c r="I82" s="81"/>
      <c r="K82" s="81">
        <f>L73+L74+L76+L77+L78+SUM(L80:L81)</f>
        <v>112435.48</v>
      </c>
      <c r="L82" s="81"/>
      <c r="M82" s="41">
        <f>Source!U36</f>
        <v>60.167999999999992</v>
      </c>
      <c r="O82" s="26">
        <f>H82</f>
        <v>10349.09</v>
      </c>
      <c r="P82" s="26">
        <f>K82</f>
        <v>112435.48</v>
      </c>
      <c r="Q82" s="26">
        <f>M82</f>
        <v>60.167999999999992</v>
      </c>
      <c r="W82">
        <f>IF(Source!BI36&lt;=1,I73+I74+I76+I77+I78, 0)</f>
        <v>0</v>
      </c>
      <c r="X82">
        <f>IF(Source!BI36=2,I73+I74+I76+I77+I78, 0)</f>
        <v>2141.63</v>
      </c>
      <c r="Y82">
        <f>IF(Source!BI36=3,I73+I74+I76+I77+I78, 0)</f>
        <v>0</v>
      </c>
      <c r="Z82">
        <f>IF(Source!BI36=4,I73+I74+I76+I77+I78, 0)</f>
        <v>0</v>
      </c>
    </row>
    <row r="83" spans="1:26" ht="130.5" x14ac:dyDescent="0.2">
      <c r="A83" s="48">
        <v>12</v>
      </c>
      <c r="B83" s="48" t="str">
        <f>Source!E39</f>
        <v>8</v>
      </c>
      <c r="C83" s="49" t="s">
        <v>542</v>
      </c>
      <c r="D83" s="49" t="str">
        <f>Source!G39</f>
        <v>Подготовка почвы для устройства партерного и обыкновенного газона с внесением растительной земли слоем 15 см вручную</v>
      </c>
      <c r="E83" s="31" t="str">
        <f>Source!H39</f>
        <v>100 м2</v>
      </c>
      <c r="F83" s="10">
        <f>Source!I39</f>
        <v>16</v>
      </c>
      <c r="G83" s="32">
        <f>Source!AL39+Source!AM39+Source!AO39</f>
        <v>2296.1</v>
      </c>
      <c r="H83" s="33"/>
      <c r="I83" s="32"/>
      <c r="J83" s="33" t="str">
        <f>Source!BO39</f>
        <v>47-01-046-4</v>
      </c>
      <c r="K83" s="33"/>
      <c r="L83" s="32"/>
      <c r="M83" s="34"/>
      <c r="S83">
        <f>ROUND((Source!FX39/100)*((ROUND(Source!AF39*Source!I39, 2)+ROUND(Source!AE39*Source!I39, 2))), 2)</f>
        <v>9274.15</v>
      </c>
      <c r="T83">
        <f>Source!X39</f>
        <v>278688.26</v>
      </c>
      <c r="U83">
        <f>ROUND((Source!FY39/100)*((ROUND(Source!AF39*Source!I39, 2)+ROUND(Source!AE39*Source!I39, 2))), 2)</f>
        <v>6169.33</v>
      </c>
      <c r="V83">
        <f>Source!Y39</f>
        <v>186599.97</v>
      </c>
    </row>
    <row r="84" spans="1:26" ht="28.5" x14ac:dyDescent="0.2">
      <c r="A84" s="48"/>
      <c r="B84" s="48"/>
      <c r="C84" s="49"/>
      <c r="D84" s="49" t="s">
        <v>525</v>
      </c>
      <c r="E84" s="31"/>
      <c r="F84" s="10"/>
      <c r="G84" s="32">
        <f>Source!AO39</f>
        <v>317.60000000000002</v>
      </c>
      <c r="H84" s="33" t="str">
        <f>Source!DG39</f>
        <v>)*1,2)*1,15)*1,15</v>
      </c>
      <c r="I84" s="32">
        <f>ROUND(Source!AF39*Source!I39, 2)</f>
        <v>8064.48</v>
      </c>
      <c r="J84" s="33"/>
      <c r="K84" s="33">
        <f>IF(Source!BA39&lt;&gt; 0, Source!BA39, 1)</f>
        <v>30.05</v>
      </c>
      <c r="L84" s="32">
        <f>Source!S39</f>
        <v>242337.62</v>
      </c>
      <c r="M84" s="34"/>
      <c r="R84">
        <f>I84</f>
        <v>8064.48</v>
      </c>
    </row>
    <row r="85" spans="1:26" ht="14.25" x14ac:dyDescent="0.2">
      <c r="A85" s="48"/>
      <c r="B85" s="48"/>
      <c r="C85" s="49"/>
      <c r="D85" s="49" t="s">
        <v>536</v>
      </c>
      <c r="E85" s="31"/>
      <c r="F85" s="10"/>
      <c r="G85" s="32">
        <f>Source!AL39</f>
        <v>1978.5</v>
      </c>
      <c r="H85" s="33" t="str">
        <f>Source!DD39</f>
        <v/>
      </c>
      <c r="I85" s="32">
        <f>ROUND(Source!AC39*Source!I39, 2)</f>
        <v>31656</v>
      </c>
      <c r="J85" s="33"/>
      <c r="K85" s="33">
        <f>IF(Source!BC39&lt;&gt; 0, Source!BC39, 1)</f>
        <v>6.69</v>
      </c>
      <c r="L85" s="32">
        <f>Source!P39</f>
        <v>211778.64</v>
      </c>
      <c r="M85" s="34"/>
    </row>
    <row r="86" spans="1:26" ht="14.25" x14ac:dyDescent="0.2">
      <c r="A86" s="48"/>
      <c r="B86" s="48"/>
      <c r="C86" s="49"/>
      <c r="D86" s="49" t="s">
        <v>526</v>
      </c>
      <c r="E86" s="31" t="s">
        <v>527</v>
      </c>
      <c r="F86" s="10">
        <f>Source!BZ39</f>
        <v>115</v>
      </c>
      <c r="G86" s="53"/>
      <c r="H86" s="33"/>
      <c r="I86" s="32">
        <f>SUM(S83:S88)</f>
        <v>9274.15</v>
      </c>
      <c r="J86" s="35"/>
      <c r="K86" s="30">
        <f>Source!AT39</f>
        <v>115</v>
      </c>
      <c r="L86" s="32">
        <f>SUM(T83:T88)</f>
        <v>278688.26</v>
      </c>
      <c r="M86" s="34"/>
    </row>
    <row r="87" spans="1:26" ht="14.25" x14ac:dyDescent="0.2">
      <c r="A87" s="48"/>
      <c r="B87" s="48"/>
      <c r="C87" s="49"/>
      <c r="D87" s="49" t="s">
        <v>528</v>
      </c>
      <c r="E87" s="31" t="s">
        <v>527</v>
      </c>
      <c r="F87" s="10">
        <f>Source!CA39</f>
        <v>90</v>
      </c>
      <c r="G87" s="85" t="str">
        <f>CONCATENATE(" )", Source!DM39, Source!FU39, "=", Source!FY39)</f>
        <v xml:space="preserve"> )*0,85=76,5</v>
      </c>
      <c r="H87" s="86"/>
      <c r="I87" s="32">
        <f>SUM(U83:U88)</f>
        <v>6169.33</v>
      </c>
      <c r="J87" s="35"/>
      <c r="K87" s="30">
        <f>Source!AU39</f>
        <v>77</v>
      </c>
      <c r="L87" s="32">
        <f>SUM(V83:V88)</f>
        <v>186599.97</v>
      </c>
      <c r="M87" s="34"/>
    </row>
    <row r="88" spans="1:26" ht="28.5" x14ac:dyDescent="0.2">
      <c r="A88" s="50"/>
      <c r="B88" s="50"/>
      <c r="C88" s="51"/>
      <c r="D88" s="51" t="s">
        <v>529</v>
      </c>
      <c r="E88" s="36" t="s">
        <v>530</v>
      </c>
      <c r="F88" s="37">
        <f>Source!AQ39</f>
        <v>40</v>
      </c>
      <c r="G88" s="38"/>
      <c r="H88" s="39" t="str">
        <f>Source!DI39</f>
        <v>)*1,2)*1,15)*1,15</v>
      </c>
      <c r="I88" s="38"/>
      <c r="J88" s="39"/>
      <c r="K88" s="39"/>
      <c r="L88" s="38"/>
      <c r="M88" s="40">
        <f>Source!U39</f>
        <v>1015.6799999999998</v>
      </c>
    </row>
    <row r="89" spans="1:26" ht="15" x14ac:dyDescent="0.25">
      <c r="H89" s="81">
        <f>I84+I85+I86+I87</f>
        <v>55163.96</v>
      </c>
      <c r="I89" s="81"/>
      <c r="K89" s="81">
        <f>L84+L85+L86+L87</f>
        <v>919404.49</v>
      </c>
      <c r="L89" s="81"/>
      <c r="M89" s="41">
        <f>Source!U39</f>
        <v>1015.6799999999998</v>
      </c>
      <c r="O89" s="26">
        <f>H89</f>
        <v>55163.96</v>
      </c>
      <c r="P89" s="26">
        <f>K89</f>
        <v>919404.49</v>
      </c>
      <c r="Q89" s="26">
        <f>M89</f>
        <v>1015.6799999999998</v>
      </c>
      <c r="W89">
        <f>IF(Source!BI39&lt;=1,I84+I85+I86+I87, 0)</f>
        <v>55163.96</v>
      </c>
      <c r="X89">
        <f>IF(Source!BI39=2,I84+I85+I86+I87, 0)</f>
        <v>0</v>
      </c>
      <c r="Y89">
        <f>IF(Source!BI39=3,I84+I85+I86+I87, 0)</f>
        <v>0</v>
      </c>
      <c r="Z89">
        <f>IF(Source!BI39=4,I84+I85+I86+I87, 0)</f>
        <v>0</v>
      </c>
    </row>
    <row r="90" spans="1:26" ht="130.5" x14ac:dyDescent="0.2">
      <c r="A90" s="48">
        <v>13</v>
      </c>
      <c r="B90" s="48" t="str">
        <f>Source!E40</f>
        <v>9</v>
      </c>
      <c r="C90" s="49" t="s">
        <v>543</v>
      </c>
      <c r="D90" s="49" t="str">
        <f>Source!G40</f>
        <v>На каждые 5 см изменения толщины слоя добавлять или исключать к расценкам с 47-01-046-01 по 47-01-046-04</v>
      </c>
      <c r="E90" s="31" t="str">
        <f>Source!H40</f>
        <v>100 м2</v>
      </c>
      <c r="F90" s="10">
        <f>Source!I40</f>
        <v>-16</v>
      </c>
      <c r="G90" s="32">
        <f>Source!AL40+Source!AM40+Source!AO40</f>
        <v>702.93</v>
      </c>
      <c r="H90" s="33"/>
      <c r="I90" s="32"/>
      <c r="J90" s="33" t="str">
        <f>Source!BO40</f>
        <v>47-01-046-5</v>
      </c>
      <c r="K90" s="33"/>
      <c r="L90" s="32"/>
      <c r="M90" s="34"/>
      <c r="S90">
        <f>ROUND((Source!FX40/100)*((ROUND(Source!AF40*Source!I40, 2)+ROUND(Source!AE40*Source!I40, 2))), 2)</f>
        <v>-1268.1300000000001</v>
      </c>
      <c r="T90">
        <f>Source!X40</f>
        <v>-38107.25</v>
      </c>
      <c r="U90">
        <f>ROUND((Source!FY40/100)*((ROUND(Source!AF40*Source!I40, 2)+ROUND(Source!AE40*Source!I40, 2))), 2)</f>
        <v>-843.58</v>
      </c>
      <c r="V90">
        <f>Source!Y40</f>
        <v>-25515.29</v>
      </c>
    </row>
    <row r="91" spans="1:26" ht="28.5" x14ac:dyDescent="0.2">
      <c r="A91" s="48"/>
      <c r="B91" s="48"/>
      <c r="C91" s="49"/>
      <c r="D91" s="49" t="s">
        <v>525</v>
      </c>
      <c r="E91" s="31"/>
      <c r="F91" s="10"/>
      <c r="G91" s="32">
        <f>Source!AO40</f>
        <v>43.43</v>
      </c>
      <c r="H91" s="33" t="str">
        <f>Source!DG40</f>
        <v>)*1,2)*1,15)*1,15</v>
      </c>
      <c r="I91" s="32">
        <f>ROUND(Source!AF40*Source!I40, 2)</f>
        <v>-1102.72</v>
      </c>
      <c r="J91" s="33"/>
      <c r="K91" s="33">
        <f>IF(Source!BA40&lt;&gt; 0, Source!BA40, 1)</f>
        <v>30.05</v>
      </c>
      <c r="L91" s="32">
        <f>Source!S40</f>
        <v>-33136.74</v>
      </c>
      <c r="M91" s="34"/>
      <c r="R91">
        <f>I91</f>
        <v>-1102.72</v>
      </c>
    </row>
    <row r="92" spans="1:26" ht="14.25" x14ac:dyDescent="0.2">
      <c r="A92" s="48"/>
      <c r="B92" s="48"/>
      <c r="C92" s="49"/>
      <c r="D92" s="49" t="s">
        <v>536</v>
      </c>
      <c r="E92" s="31"/>
      <c r="F92" s="10"/>
      <c r="G92" s="32">
        <f>Source!AL40</f>
        <v>659.5</v>
      </c>
      <c r="H92" s="33" t="str">
        <f>Source!DD40</f>
        <v/>
      </c>
      <c r="I92" s="32">
        <f>ROUND(Source!AC40*Source!I40, 2)</f>
        <v>-10552</v>
      </c>
      <c r="J92" s="33"/>
      <c r="K92" s="33">
        <f>IF(Source!BC40&lt;&gt; 0, Source!BC40, 1)</f>
        <v>6.69</v>
      </c>
      <c r="L92" s="32">
        <f>Source!P40</f>
        <v>-70592.88</v>
      </c>
      <c r="M92" s="34"/>
    </row>
    <row r="93" spans="1:26" ht="14.25" x14ac:dyDescent="0.2">
      <c r="A93" s="48"/>
      <c r="B93" s="48"/>
      <c r="C93" s="49"/>
      <c r="D93" s="49" t="s">
        <v>526</v>
      </c>
      <c r="E93" s="31" t="s">
        <v>527</v>
      </c>
      <c r="F93" s="10">
        <f>Source!BZ40</f>
        <v>115</v>
      </c>
      <c r="G93" s="53"/>
      <c r="H93" s="33"/>
      <c r="I93" s="32">
        <f>SUM(S90:S95)</f>
        <v>-1268.1300000000001</v>
      </c>
      <c r="J93" s="35"/>
      <c r="K93" s="30">
        <f>Source!AT40</f>
        <v>115</v>
      </c>
      <c r="L93" s="32">
        <f>SUM(T90:T95)</f>
        <v>-38107.25</v>
      </c>
      <c r="M93" s="34"/>
    </row>
    <row r="94" spans="1:26" ht="14.25" x14ac:dyDescent="0.2">
      <c r="A94" s="48"/>
      <c r="B94" s="48"/>
      <c r="C94" s="49"/>
      <c r="D94" s="49" t="s">
        <v>528</v>
      </c>
      <c r="E94" s="31" t="s">
        <v>527</v>
      </c>
      <c r="F94" s="10">
        <f>Source!CA40</f>
        <v>90</v>
      </c>
      <c r="G94" s="85" t="str">
        <f>CONCATENATE(" )", Source!DM40, Source!FU40, "=", Source!FY40)</f>
        <v xml:space="preserve"> )*0,85=76,5</v>
      </c>
      <c r="H94" s="86"/>
      <c r="I94" s="32">
        <f>SUM(U90:U95)</f>
        <v>-843.58</v>
      </c>
      <c r="J94" s="35"/>
      <c r="K94" s="30">
        <f>Source!AU40</f>
        <v>77</v>
      </c>
      <c r="L94" s="32">
        <f>SUM(V90:V95)</f>
        <v>-25515.29</v>
      </c>
      <c r="M94" s="34"/>
    </row>
    <row r="95" spans="1:26" ht="28.5" x14ac:dyDescent="0.2">
      <c r="A95" s="50"/>
      <c r="B95" s="50"/>
      <c r="C95" s="51"/>
      <c r="D95" s="51" t="s">
        <v>529</v>
      </c>
      <c r="E95" s="36" t="s">
        <v>530</v>
      </c>
      <c r="F95" s="37">
        <f>Source!AQ40</f>
        <v>5.47</v>
      </c>
      <c r="G95" s="38"/>
      <c r="H95" s="39" t="str">
        <f>Source!DI40</f>
        <v>)*1,2)*1,15)*1,15</v>
      </c>
      <c r="I95" s="38"/>
      <c r="J95" s="39"/>
      <c r="K95" s="39"/>
      <c r="L95" s="38"/>
      <c r="M95" s="40">
        <f>Source!U40</f>
        <v>-138.89423999999997</v>
      </c>
    </row>
    <row r="96" spans="1:26" ht="15" x14ac:dyDescent="0.25">
      <c r="H96" s="81">
        <f>I91+I92+I93+I94</f>
        <v>-13766.429999999998</v>
      </c>
      <c r="I96" s="81"/>
      <c r="K96" s="81">
        <f>L91+L92+L93+L94</f>
        <v>-167352.16</v>
      </c>
      <c r="L96" s="81"/>
      <c r="M96" s="41">
        <f>Source!U40</f>
        <v>-138.89423999999997</v>
      </c>
      <c r="O96" s="26">
        <f>H96</f>
        <v>-13766.429999999998</v>
      </c>
      <c r="P96" s="26">
        <f>K96</f>
        <v>-167352.16</v>
      </c>
      <c r="Q96" s="26">
        <f>M96</f>
        <v>-138.89423999999997</v>
      </c>
      <c r="W96">
        <f>IF(Source!BI40&lt;=1,I91+I92+I93+I94, 0)</f>
        <v>-13766.429999999998</v>
      </c>
      <c r="X96">
        <f>IF(Source!BI40=2,I91+I92+I93+I94, 0)</f>
        <v>0</v>
      </c>
      <c r="Y96">
        <f>IF(Source!BI40=3,I91+I92+I93+I94, 0)</f>
        <v>0</v>
      </c>
      <c r="Z96">
        <f>IF(Source!BI40=4,I91+I92+I93+I94, 0)</f>
        <v>0</v>
      </c>
    </row>
    <row r="97" spans="1:26" ht="130.5" x14ac:dyDescent="0.2">
      <c r="A97" s="48">
        <v>14</v>
      </c>
      <c r="B97" s="48" t="str">
        <f>Source!E41</f>
        <v>10</v>
      </c>
      <c r="C97" s="49" t="s">
        <v>544</v>
      </c>
      <c r="D97" s="49" t="str">
        <f>Source!G41</f>
        <v>Посев газонов партерных, мавританских и обыкновенных вручную</v>
      </c>
      <c r="E97" s="31" t="str">
        <f>Source!H41</f>
        <v>100 м2</v>
      </c>
      <c r="F97" s="10">
        <f>Source!I41</f>
        <v>16</v>
      </c>
      <c r="G97" s="32">
        <f>Source!AL41+Source!AM41+Source!AO41</f>
        <v>376.47999999999996</v>
      </c>
      <c r="H97" s="33"/>
      <c r="I97" s="32"/>
      <c r="J97" s="33" t="str">
        <f>Source!BO41</f>
        <v>47-01-046-6</v>
      </c>
      <c r="K97" s="33"/>
      <c r="L97" s="32"/>
      <c r="M97" s="34"/>
      <c r="S97">
        <f>ROUND((Source!FX41/100)*((ROUND(Source!AF41*Source!I41, 2)+ROUND(Source!AE41*Source!I41, 2))), 2)</f>
        <v>2488.6</v>
      </c>
      <c r="T97">
        <f>Source!X41</f>
        <v>74782.429999999993</v>
      </c>
      <c r="U97">
        <f>ROUND((Source!FY41/100)*((ROUND(Source!AF41*Source!I41, 2)+ROUND(Source!AE41*Source!I41, 2))), 2)</f>
        <v>1655.46</v>
      </c>
      <c r="V97">
        <f>Source!Y41</f>
        <v>50071.71</v>
      </c>
    </row>
    <row r="98" spans="1:26" ht="28.5" x14ac:dyDescent="0.2">
      <c r="A98" s="48"/>
      <c r="B98" s="48"/>
      <c r="C98" s="49"/>
      <c r="D98" s="49" t="s">
        <v>525</v>
      </c>
      <c r="E98" s="31"/>
      <c r="F98" s="10"/>
      <c r="G98" s="32">
        <f>Source!AO41</f>
        <v>50.68</v>
      </c>
      <c r="H98" s="33" t="str">
        <f>Source!DG41</f>
        <v>)*1,2)*1,15)*1,15</v>
      </c>
      <c r="I98" s="32">
        <f>ROUND(Source!AF41*Source!I41, 2)</f>
        <v>1286.8800000000001</v>
      </c>
      <c r="J98" s="33"/>
      <c r="K98" s="33">
        <f>IF(Source!BA41&lt;&gt; 0, Source!BA41, 1)</f>
        <v>30.05</v>
      </c>
      <c r="L98" s="32">
        <f>Source!S41</f>
        <v>38670.74</v>
      </c>
      <c r="M98" s="34"/>
      <c r="R98">
        <f>I98</f>
        <v>1286.8800000000001</v>
      </c>
    </row>
    <row r="99" spans="1:26" ht="28.5" x14ac:dyDescent="0.2">
      <c r="A99" s="48"/>
      <c r="B99" s="48"/>
      <c r="C99" s="49"/>
      <c r="D99" s="49" t="s">
        <v>151</v>
      </c>
      <c r="E99" s="31"/>
      <c r="F99" s="10"/>
      <c r="G99" s="32">
        <f>Source!AM41</f>
        <v>301.39999999999998</v>
      </c>
      <c r="H99" s="33" t="str">
        <f>Source!DE41</f>
        <v>)*1,2)*1,25)*1,15</v>
      </c>
      <c r="I99" s="32">
        <f>ROUND(Source!AD41*Source!I41, 2)</f>
        <v>8318.56</v>
      </c>
      <c r="J99" s="33"/>
      <c r="K99" s="33">
        <f>IF(Source!BB41&lt;&gt; 0, Source!BB41, 1)</f>
        <v>7.9</v>
      </c>
      <c r="L99" s="32">
        <f>Source!Q41</f>
        <v>65716.62</v>
      </c>
      <c r="M99" s="34"/>
    </row>
    <row r="100" spans="1:26" ht="28.5" x14ac:dyDescent="0.2">
      <c r="A100" s="48"/>
      <c r="B100" s="48"/>
      <c r="C100" s="49"/>
      <c r="D100" s="49" t="s">
        <v>533</v>
      </c>
      <c r="E100" s="31"/>
      <c r="F100" s="10"/>
      <c r="G100" s="32">
        <f>Source!AN41</f>
        <v>31.78</v>
      </c>
      <c r="H100" s="33" t="str">
        <f>Source!DF41</f>
        <v>)*1,2)*1,25)*1,15</v>
      </c>
      <c r="I100" s="47">
        <f>ROUND(Source!AE41*Source!I41, 2)</f>
        <v>877.12</v>
      </c>
      <c r="J100" s="33"/>
      <c r="K100" s="33">
        <f>IF(Source!BS41&lt;&gt; 0, Source!BS41, 1)</f>
        <v>30.05</v>
      </c>
      <c r="L100" s="47">
        <f>Source!R41</f>
        <v>26357.46</v>
      </c>
      <c r="M100" s="34"/>
      <c r="R100">
        <f>I100</f>
        <v>877.12</v>
      </c>
    </row>
    <row r="101" spans="1:26" ht="14.25" x14ac:dyDescent="0.2">
      <c r="A101" s="48"/>
      <c r="B101" s="48"/>
      <c r="C101" s="49"/>
      <c r="D101" s="49" t="s">
        <v>536</v>
      </c>
      <c r="E101" s="31"/>
      <c r="F101" s="10"/>
      <c r="G101" s="32">
        <f>Source!AL41</f>
        <v>24.4</v>
      </c>
      <c r="H101" s="33" t="str">
        <f>Source!DD41</f>
        <v/>
      </c>
      <c r="I101" s="32">
        <f>ROUND(Source!AC41*Source!I41, 2)</f>
        <v>390.4</v>
      </c>
      <c r="J101" s="33"/>
      <c r="K101" s="33">
        <f>IF(Source!BC41&lt;&gt; 0, Source!BC41, 1)</f>
        <v>8.7200000000000006</v>
      </c>
      <c r="L101" s="32">
        <f>Source!P41</f>
        <v>3404.29</v>
      </c>
      <c r="M101" s="34"/>
    </row>
    <row r="102" spans="1:26" ht="14.25" x14ac:dyDescent="0.2">
      <c r="A102" s="48"/>
      <c r="B102" s="48"/>
      <c r="C102" s="49"/>
      <c r="D102" s="49" t="s">
        <v>526</v>
      </c>
      <c r="E102" s="31" t="s">
        <v>527</v>
      </c>
      <c r="F102" s="10">
        <f>Source!BZ41</f>
        <v>115</v>
      </c>
      <c r="G102" s="53"/>
      <c r="H102" s="33"/>
      <c r="I102" s="32">
        <f>SUM(S97:S105)</f>
        <v>2488.6</v>
      </c>
      <c r="J102" s="35"/>
      <c r="K102" s="30">
        <f>Source!AT41</f>
        <v>115</v>
      </c>
      <c r="L102" s="32">
        <f>SUM(T97:T105)</f>
        <v>74782.429999999993</v>
      </c>
      <c r="M102" s="34"/>
    </row>
    <row r="103" spans="1:26" ht="14.25" x14ac:dyDescent="0.2">
      <c r="A103" s="48"/>
      <c r="B103" s="48"/>
      <c r="C103" s="49"/>
      <c r="D103" s="49" t="s">
        <v>528</v>
      </c>
      <c r="E103" s="31" t="s">
        <v>527</v>
      </c>
      <c r="F103" s="10">
        <f>Source!CA41</f>
        <v>90</v>
      </c>
      <c r="G103" s="85" t="str">
        <f>CONCATENATE(" )", Source!DM41, Source!FU41, "=", Source!FY41)</f>
        <v xml:space="preserve"> )*0,85=76,5</v>
      </c>
      <c r="H103" s="86"/>
      <c r="I103" s="32">
        <f>SUM(U97:U105)</f>
        <v>1655.46</v>
      </c>
      <c r="J103" s="35"/>
      <c r="K103" s="30">
        <f>Source!AU41</f>
        <v>77</v>
      </c>
      <c r="L103" s="32">
        <f>SUM(V97:V105)</f>
        <v>50071.71</v>
      </c>
      <c r="M103" s="34"/>
    </row>
    <row r="104" spans="1:26" ht="28.5" x14ac:dyDescent="0.2">
      <c r="A104" s="48"/>
      <c r="B104" s="48"/>
      <c r="C104" s="49"/>
      <c r="D104" s="49" t="s">
        <v>529</v>
      </c>
      <c r="E104" s="31" t="s">
        <v>530</v>
      </c>
      <c r="F104" s="10">
        <f>Source!AQ41</f>
        <v>5.99</v>
      </c>
      <c r="G104" s="32"/>
      <c r="H104" s="33" t="str">
        <f>Source!DI41</f>
        <v>)*1,2)*1,15)*1,15</v>
      </c>
      <c r="I104" s="32"/>
      <c r="J104" s="33"/>
      <c r="K104" s="33"/>
      <c r="L104" s="32"/>
      <c r="M104" s="44">
        <f>Source!U41</f>
        <v>152.09807999999998</v>
      </c>
    </row>
    <row r="105" spans="1:26" ht="28.5" x14ac:dyDescent="0.2">
      <c r="A105" s="50">
        <v>15</v>
      </c>
      <c r="B105" s="50" t="str">
        <f>Source!E42</f>
        <v>10,1</v>
      </c>
      <c r="C105" s="51" t="s">
        <v>545</v>
      </c>
      <c r="D105" s="51" t="str">
        <f>Source!G42</f>
        <v>Семена газонных трав (смесь)</v>
      </c>
      <c r="E105" s="36" t="str">
        <f>Source!H42</f>
        <v>кг</v>
      </c>
      <c r="F105" s="37">
        <f>Source!I42</f>
        <v>32</v>
      </c>
      <c r="G105" s="38">
        <f>Source!AL42+Source!AM42+Source!AO42</f>
        <v>153.19999999999999</v>
      </c>
      <c r="H105" s="46" t="s">
        <v>6</v>
      </c>
      <c r="I105" s="38">
        <f>ROUND(Source!AC42*Source!I42, 2)+ROUND(Source!AD42*Source!I42, 2)+ROUND(Source!AF42*Source!I42, 2)</f>
        <v>4902.3999999999996</v>
      </c>
      <c r="J105" s="39"/>
      <c r="K105" s="39">
        <f>IF(Source!BC42&lt;&gt; 0, Source!BC42, 1)</f>
        <v>0.86</v>
      </c>
      <c r="L105" s="38">
        <f>Source!O42</f>
        <v>4216.0600000000004</v>
      </c>
      <c r="M105" s="43"/>
      <c r="S105">
        <f>ROUND((Source!FX42/100)*((ROUND(Source!AF42*Source!I42, 2)+ROUND(Source!AE42*Source!I42, 2))), 2)</f>
        <v>0</v>
      </c>
      <c r="T105">
        <f>Source!X42</f>
        <v>0</v>
      </c>
      <c r="U105">
        <f>ROUND((Source!FY42/100)*((ROUND(Source!AF42*Source!I42, 2)+ROUND(Source!AE42*Source!I42, 2))), 2)</f>
        <v>0</v>
      </c>
      <c r="V105">
        <f>Source!Y42</f>
        <v>0</v>
      </c>
      <c r="W105">
        <f>IF(Source!BI42&lt;=1,I105, 0)</f>
        <v>4902.3999999999996</v>
      </c>
      <c r="X105">
        <f>IF(Source!BI42=2,I105, 0)</f>
        <v>0</v>
      </c>
      <c r="Y105">
        <f>IF(Source!BI42=3,I105, 0)</f>
        <v>0</v>
      </c>
      <c r="Z105">
        <f>IF(Source!BI42=4,I105, 0)</f>
        <v>0</v>
      </c>
    </row>
    <row r="106" spans="1:26" ht="15" x14ac:dyDescent="0.25">
      <c r="H106" s="81">
        <f>I98+I99+I101+I102+I103+SUM(I105:I105)</f>
        <v>19042.299999999996</v>
      </c>
      <c r="I106" s="81"/>
      <c r="K106" s="81">
        <f>L98+L99+L101+L102+L103+SUM(L105:L105)</f>
        <v>236861.84999999995</v>
      </c>
      <c r="L106" s="81"/>
      <c r="M106" s="41">
        <f>Source!U41</f>
        <v>152.09807999999998</v>
      </c>
      <c r="O106" s="26">
        <f>H106</f>
        <v>19042.299999999996</v>
      </c>
      <c r="P106" s="26">
        <f>K106</f>
        <v>236861.84999999995</v>
      </c>
      <c r="Q106" s="26">
        <f>M106</f>
        <v>152.09807999999998</v>
      </c>
      <c r="W106">
        <f>IF(Source!BI41&lt;=1,I98+I99+I101+I102+I103, 0)</f>
        <v>14139.899999999998</v>
      </c>
      <c r="X106">
        <f>IF(Source!BI41=2,I98+I99+I101+I102+I103, 0)</f>
        <v>0</v>
      </c>
      <c r="Y106">
        <f>IF(Source!BI41=3,I98+I99+I101+I102+I103, 0)</f>
        <v>0</v>
      </c>
      <c r="Z106">
        <f>IF(Source!BI41=4,I98+I99+I101+I102+I103, 0)</f>
        <v>0</v>
      </c>
    </row>
    <row r="108" spans="1:26" ht="15" x14ac:dyDescent="0.25">
      <c r="A108" s="84" t="str">
        <f>CONCATENATE("Итого по разделу: ",IF(Source!G44&lt;&gt;"Новый раздел", Source!G44, ""))</f>
        <v>Итого по разделу: Ремонтные работы</v>
      </c>
      <c r="B108" s="84"/>
      <c r="C108" s="84"/>
      <c r="D108" s="84"/>
      <c r="E108" s="84"/>
      <c r="F108" s="84"/>
      <c r="G108" s="84"/>
      <c r="H108" s="83">
        <f>SUM(O36:O107)</f>
        <v>105017.50999999998</v>
      </c>
      <c r="I108" s="83"/>
      <c r="J108" s="29"/>
      <c r="K108" s="83">
        <f>SUM(P36:P107)</f>
        <v>1805876.94</v>
      </c>
      <c r="L108" s="83"/>
      <c r="M108" s="41">
        <f>SUM(Q36:Q107)</f>
        <v>2362.052794799999</v>
      </c>
    </row>
    <row r="112" spans="1:26" ht="16.5" x14ac:dyDescent="0.25">
      <c r="A112" s="82" t="str">
        <f>CONCATENATE("Раздел: ",IF(Source!G73&lt;&gt;"Новый раздел", Source!G73, ""))</f>
        <v>Раздел: Электромонтажные работы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1:26" ht="105" x14ac:dyDescent="0.2">
      <c r="A113" s="48">
        <v>16</v>
      </c>
      <c r="B113" s="48" t="str">
        <f>Source!E77</f>
        <v>11</v>
      </c>
      <c r="C113" s="49" t="s">
        <v>546</v>
      </c>
      <c r="D113" s="49" t="str">
        <f>Source!G77</f>
        <v>Устройство постели при одном кабеле в траншее</v>
      </c>
      <c r="E113" s="31" t="str">
        <f>Source!H77</f>
        <v>100 М КАБЕЛЯ</v>
      </c>
      <c r="F113" s="10">
        <f>Source!I77</f>
        <v>9.58</v>
      </c>
      <c r="G113" s="32">
        <f>Source!AL77+Source!AM77+Source!AO77</f>
        <v>391.96999999999997</v>
      </c>
      <c r="H113" s="33"/>
      <c r="I113" s="32"/>
      <c r="J113" s="33" t="str">
        <f>Source!BO77</f>
        <v>м08-02-142-1</v>
      </c>
      <c r="K113" s="33"/>
      <c r="L113" s="32"/>
      <c r="M113" s="34"/>
      <c r="S113">
        <f>ROUND((Source!FX77/100)*((ROUND(Source!AF77*Source!I77, 2)+ROUND(Source!AE77*Source!I77, 2))), 2)</f>
        <v>640.42999999999995</v>
      </c>
      <c r="T113">
        <f>Source!X77</f>
        <v>19245.150000000001</v>
      </c>
      <c r="U113">
        <f>ROUND((Source!FY77/100)*((ROUND(Source!AF77*Source!I77, 2)+ROUND(Source!AE77*Source!I77, 2))), 2)</f>
        <v>438.19</v>
      </c>
      <c r="V113">
        <f>Source!Y77</f>
        <v>13167.73</v>
      </c>
    </row>
    <row r="114" spans="1:26" ht="14.25" x14ac:dyDescent="0.2">
      <c r="A114" s="48"/>
      <c r="B114" s="48"/>
      <c r="C114" s="49"/>
      <c r="D114" s="49" t="s">
        <v>525</v>
      </c>
      <c r="E114" s="31"/>
      <c r="F114" s="10"/>
      <c r="G114" s="32">
        <f>Source!AO77</f>
        <v>50.99</v>
      </c>
      <c r="H114" s="33" t="str">
        <f>Source!DG77</f>
        <v>)*1,2)*1,15</v>
      </c>
      <c r="I114" s="32">
        <f>ROUND(Source!AF77*Source!I77, 2)</f>
        <v>674.14</v>
      </c>
      <c r="J114" s="33"/>
      <c r="K114" s="33">
        <f>IF(Source!BA77&lt;&gt; 0, Source!BA77, 1)</f>
        <v>30.05</v>
      </c>
      <c r="L114" s="32">
        <f>Source!S77</f>
        <v>20258.05</v>
      </c>
      <c r="M114" s="34"/>
      <c r="R114">
        <f>I114</f>
        <v>674.14</v>
      </c>
    </row>
    <row r="115" spans="1:26" ht="14.25" x14ac:dyDescent="0.2">
      <c r="A115" s="48"/>
      <c r="B115" s="48"/>
      <c r="C115" s="49"/>
      <c r="D115" s="49" t="s">
        <v>151</v>
      </c>
      <c r="E115" s="31"/>
      <c r="F115" s="10"/>
      <c r="G115" s="32">
        <f>Source!AM77</f>
        <v>339.96</v>
      </c>
      <c r="H115" s="33" t="str">
        <f>Source!DE77</f>
        <v>)*1,2)*1,15</v>
      </c>
      <c r="I115" s="32">
        <f>ROUND(Source!AD77*Source!I77, 2)</f>
        <v>4494.3599999999997</v>
      </c>
      <c r="J115" s="33"/>
      <c r="K115" s="33">
        <f>IF(Source!BB77&lt;&gt; 0, Source!BB77, 1)</f>
        <v>10.18</v>
      </c>
      <c r="L115" s="32">
        <f>Source!Q77</f>
        <v>45752.6</v>
      </c>
      <c r="M115" s="34"/>
    </row>
    <row r="116" spans="1:26" ht="14.25" x14ac:dyDescent="0.2">
      <c r="A116" s="48"/>
      <c r="B116" s="48"/>
      <c r="C116" s="49"/>
      <c r="D116" s="49" t="s">
        <v>536</v>
      </c>
      <c r="E116" s="31"/>
      <c r="F116" s="10"/>
      <c r="G116" s="32">
        <f>Source!AL77</f>
        <v>1.02</v>
      </c>
      <c r="H116" s="33" t="str">
        <f>Source!DD77</f>
        <v/>
      </c>
      <c r="I116" s="32">
        <f>ROUND(Source!AC77*Source!I77, 2)</f>
        <v>9.77</v>
      </c>
      <c r="J116" s="33"/>
      <c r="K116" s="33">
        <f>IF(Source!BC77&lt;&gt; 0, Source!BC77, 1)</f>
        <v>30.04</v>
      </c>
      <c r="L116" s="32">
        <f>Source!P77</f>
        <v>293.54000000000002</v>
      </c>
      <c r="M116" s="34"/>
    </row>
    <row r="117" spans="1:26" ht="14.25" x14ac:dyDescent="0.2">
      <c r="A117" s="48"/>
      <c r="B117" s="48"/>
      <c r="C117" s="49"/>
      <c r="D117" s="49" t="s">
        <v>526</v>
      </c>
      <c r="E117" s="31" t="s">
        <v>527</v>
      </c>
      <c r="F117" s="10">
        <f>Source!BZ77</f>
        <v>95</v>
      </c>
      <c r="G117" s="53"/>
      <c r="H117" s="33"/>
      <c r="I117" s="32">
        <f>SUM(S113:S120)</f>
        <v>640.42999999999995</v>
      </c>
      <c r="J117" s="35"/>
      <c r="K117" s="30">
        <f>Source!AT77</f>
        <v>95</v>
      </c>
      <c r="L117" s="32">
        <f>SUM(T113:T120)</f>
        <v>19245.150000000001</v>
      </c>
      <c r="M117" s="34"/>
    </row>
    <row r="118" spans="1:26" ht="14.25" x14ac:dyDescent="0.2">
      <c r="A118" s="48"/>
      <c r="B118" s="48"/>
      <c r="C118" s="49"/>
      <c r="D118" s="49" t="s">
        <v>528</v>
      </c>
      <c r="E118" s="31" t="s">
        <v>527</v>
      </c>
      <c r="F118" s="10">
        <f>Source!CA77</f>
        <v>65</v>
      </c>
      <c r="G118" s="53"/>
      <c r="H118" s="33"/>
      <c r="I118" s="32">
        <f>SUM(U113:U120)</f>
        <v>438.19</v>
      </c>
      <c r="J118" s="35"/>
      <c r="K118" s="30">
        <f>Source!AU77</f>
        <v>65</v>
      </c>
      <c r="L118" s="32">
        <f>SUM(V113:V120)</f>
        <v>13167.73</v>
      </c>
      <c r="M118" s="34"/>
    </row>
    <row r="119" spans="1:26" ht="14.25" x14ac:dyDescent="0.2">
      <c r="A119" s="48"/>
      <c r="B119" s="48"/>
      <c r="C119" s="49"/>
      <c r="D119" s="49" t="s">
        <v>529</v>
      </c>
      <c r="E119" s="31" t="s">
        <v>530</v>
      </c>
      <c r="F119" s="10">
        <f>Source!AQ77</f>
        <v>5.3</v>
      </c>
      <c r="G119" s="32"/>
      <c r="H119" s="33" t="str">
        <f>Source!DI77</f>
        <v>)*1,2)*1,15</v>
      </c>
      <c r="I119" s="32"/>
      <c r="J119" s="33"/>
      <c r="K119" s="33"/>
      <c r="L119" s="32"/>
      <c r="M119" s="44">
        <f>Source!U77</f>
        <v>70.068119999999993</v>
      </c>
    </row>
    <row r="120" spans="1:26" ht="28.5" x14ac:dyDescent="0.2">
      <c r="A120" s="50">
        <v>17</v>
      </c>
      <c r="B120" s="50" t="str">
        <f>Source!E78</f>
        <v>11,1</v>
      </c>
      <c r="C120" s="51" t="s">
        <v>547</v>
      </c>
      <c r="D120" s="51" t="str">
        <f>Source!G78</f>
        <v>Песок природный для строительных работ средний</v>
      </c>
      <c r="E120" s="36" t="str">
        <f>Source!H78</f>
        <v>м3</v>
      </c>
      <c r="F120" s="37">
        <f>Source!I78</f>
        <v>114.96000000000001</v>
      </c>
      <c r="G120" s="38">
        <f>Source!AL78+Source!AM78+Source!AO78</f>
        <v>55.26</v>
      </c>
      <c r="H120" s="46" t="s">
        <v>6</v>
      </c>
      <c r="I120" s="38">
        <f>ROUND(Source!AC78*Source!I78, 2)+ROUND(Source!AD78*Source!I78, 2)+ROUND(Source!AF78*Source!I78, 2)</f>
        <v>6352.69</v>
      </c>
      <c r="J120" s="39"/>
      <c r="K120" s="39">
        <f>IF(Source!BC78&lt;&gt; 0, Source!BC78, 1)</f>
        <v>9.9600000000000009</v>
      </c>
      <c r="L120" s="38">
        <f>Source!O78</f>
        <v>63272.79</v>
      </c>
      <c r="M120" s="43"/>
      <c r="S120">
        <f>ROUND((Source!FX78/100)*((ROUND(Source!AF78*Source!I78, 2)+ROUND(Source!AE78*Source!I78, 2))), 2)</f>
        <v>0</v>
      </c>
      <c r="T120">
        <f>Source!X78</f>
        <v>0</v>
      </c>
      <c r="U120">
        <f>ROUND((Source!FY78/100)*((ROUND(Source!AF78*Source!I78, 2)+ROUND(Source!AE78*Source!I78, 2))), 2)</f>
        <v>0</v>
      </c>
      <c r="V120">
        <f>Source!Y78</f>
        <v>0</v>
      </c>
      <c r="W120">
        <f>IF(Source!BI78&lt;=1,I120, 0)</f>
        <v>0</v>
      </c>
      <c r="X120">
        <f>IF(Source!BI78=2,I120, 0)</f>
        <v>6352.69</v>
      </c>
      <c r="Y120">
        <f>IF(Source!BI78=3,I120, 0)</f>
        <v>0</v>
      </c>
      <c r="Z120">
        <f>IF(Source!BI78=4,I120, 0)</f>
        <v>0</v>
      </c>
    </row>
    <row r="121" spans="1:26" ht="15" x14ac:dyDescent="0.25">
      <c r="H121" s="81">
        <f>I114+I115+I116+I117+I118+SUM(I120:I120)</f>
        <v>12609.58</v>
      </c>
      <c r="I121" s="81"/>
      <c r="K121" s="81">
        <f>L114+L115+L116+L117+L118+SUM(L120:L120)</f>
        <v>161989.85999999999</v>
      </c>
      <c r="L121" s="81"/>
      <c r="M121" s="41">
        <f>Source!U77</f>
        <v>70.068119999999993</v>
      </c>
      <c r="O121" s="26">
        <f>H121</f>
        <v>12609.58</v>
      </c>
      <c r="P121" s="26">
        <f>K121</f>
        <v>161989.85999999999</v>
      </c>
      <c r="Q121" s="26">
        <f>M121</f>
        <v>70.068119999999993</v>
      </c>
      <c r="W121">
        <f>IF(Source!BI77&lt;=1,I114+I115+I116+I117+I118, 0)</f>
        <v>0</v>
      </c>
      <c r="X121">
        <f>IF(Source!BI77=2,I114+I115+I116+I117+I118, 0)</f>
        <v>6256.89</v>
      </c>
      <c r="Y121">
        <f>IF(Source!BI77=3,I114+I115+I116+I117+I118, 0)</f>
        <v>0</v>
      </c>
      <c r="Z121">
        <f>IF(Source!BI77=4,I114+I115+I116+I117+I118, 0)</f>
        <v>0</v>
      </c>
    </row>
    <row r="122" spans="1:26" ht="105" x14ac:dyDescent="0.2">
      <c r="A122" s="48">
        <v>18</v>
      </c>
      <c r="B122" s="48" t="str">
        <f>Source!E79</f>
        <v>12</v>
      </c>
      <c r="C122" s="49" t="s">
        <v>548</v>
      </c>
      <c r="D122" s="49" t="str">
        <f>Source!G79</f>
        <v>Кабель до 35 кВ в готовых траншеях без покрытий, масса 1 м до 6 кг</v>
      </c>
      <c r="E122" s="31" t="str">
        <f>Source!H79</f>
        <v>100 М КАБЕЛЯ</v>
      </c>
      <c r="F122" s="10">
        <f>Source!I79</f>
        <v>9.58</v>
      </c>
      <c r="G122" s="32">
        <f>Source!AL79+Source!AM79+Source!AO79</f>
        <v>572.23</v>
      </c>
      <c r="H122" s="33"/>
      <c r="I122" s="32"/>
      <c r="J122" s="33" t="str">
        <f>Source!BO79</f>
        <v>м08-02-141-4</v>
      </c>
      <c r="K122" s="33"/>
      <c r="L122" s="32"/>
      <c r="M122" s="34"/>
      <c r="S122">
        <f>ROUND((Source!FX79/100)*((ROUND(Source!AF79*Source!I79, 2)+ROUND(Source!AE79*Source!I79, 2))), 2)</f>
        <v>2330.85</v>
      </c>
      <c r="T122">
        <f>Source!X79</f>
        <v>70042.259999999995</v>
      </c>
      <c r="U122">
        <f>ROUND((Source!FY79/100)*((ROUND(Source!AF79*Source!I79, 2)+ROUND(Source!AE79*Source!I79, 2))), 2)</f>
        <v>1594.79</v>
      </c>
      <c r="V122">
        <f>Source!Y79</f>
        <v>47923.65</v>
      </c>
    </row>
    <row r="123" spans="1:26" ht="14.25" x14ac:dyDescent="0.2">
      <c r="A123" s="48"/>
      <c r="B123" s="48"/>
      <c r="C123" s="49"/>
      <c r="D123" s="49" t="s">
        <v>525</v>
      </c>
      <c r="E123" s="31"/>
      <c r="F123" s="10"/>
      <c r="G123" s="32">
        <f>Source!AO79</f>
        <v>167.77</v>
      </c>
      <c r="H123" s="33" t="str">
        <f>Source!DG79</f>
        <v>)*1,2)*1,15</v>
      </c>
      <c r="I123" s="32">
        <f>ROUND(Source!AF79*Source!I79, 2)</f>
        <v>2217.96</v>
      </c>
      <c r="J123" s="33"/>
      <c r="K123" s="33">
        <f>IF(Source!BA79&lt;&gt; 0, Source!BA79, 1)</f>
        <v>30.05</v>
      </c>
      <c r="L123" s="32">
        <f>Source!S79</f>
        <v>66649.75</v>
      </c>
      <c r="M123" s="34"/>
      <c r="R123">
        <f>I123</f>
        <v>2217.96</v>
      </c>
    </row>
    <row r="124" spans="1:26" ht="14.25" x14ac:dyDescent="0.2">
      <c r="A124" s="48"/>
      <c r="B124" s="48"/>
      <c r="C124" s="49"/>
      <c r="D124" s="49" t="s">
        <v>151</v>
      </c>
      <c r="E124" s="31"/>
      <c r="F124" s="10"/>
      <c r="G124" s="32">
        <f>Source!AM79</f>
        <v>329.6</v>
      </c>
      <c r="H124" s="33" t="str">
        <f>Source!DE79</f>
        <v>)*1,2)*1,15</v>
      </c>
      <c r="I124" s="32">
        <f>ROUND(Source!AD79*Source!I79, 2)</f>
        <v>4357.46</v>
      </c>
      <c r="J124" s="33"/>
      <c r="K124" s="33">
        <f>IF(Source!BB79&lt;&gt; 0, Source!BB79, 1)</f>
        <v>8.7799999999999994</v>
      </c>
      <c r="L124" s="32">
        <f>Source!Q79</f>
        <v>38258.53</v>
      </c>
      <c r="M124" s="34"/>
    </row>
    <row r="125" spans="1:26" ht="14.25" x14ac:dyDescent="0.2">
      <c r="A125" s="48"/>
      <c r="B125" s="48"/>
      <c r="C125" s="49"/>
      <c r="D125" s="49" t="s">
        <v>533</v>
      </c>
      <c r="E125" s="31"/>
      <c r="F125" s="10"/>
      <c r="G125" s="32">
        <f>Source!AN79</f>
        <v>17.82</v>
      </c>
      <c r="H125" s="33" t="str">
        <f>Source!DF79</f>
        <v>)*1,2)*1,15</v>
      </c>
      <c r="I125" s="47">
        <f>ROUND(Source!AE79*Source!I79, 2)</f>
        <v>235.57</v>
      </c>
      <c r="J125" s="33"/>
      <c r="K125" s="33">
        <f>IF(Source!BS79&lt;&gt; 0, Source!BS79, 1)</f>
        <v>30.05</v>
      </c>
      <c r="L125" s="47">
        <f>Source!R79</f>
        <v>7078.94</v>
      </c>
      <c r="M125" s="34"/>
      <c r="R125">
        <f>I125</f>
        <v>235.57</v>
      </c>
    </row>
    <row r="126" spans="1:26" ht="14.25" x14ac:dyDescent="0.2">
      <c r="A126" s="48"/>
      <c r="B126" s="48"/>
      <c r="C126" s="49"/>
      <c r="D126" s="49" t="s">
        <v>536</v>
      </c>
      <c r="E126" s="31"/>
      <c r="F126" s="10"/>
      <c r="G126" s="32">
        <f>Source!AL79</f>
        <v>74.86</v>
      </c>
      <c r="H126" s="33" t="str">
        <f>Source!DD79</f>
        <v/>
      </c>
      <c r="I126" s="32">
        <f>ROUND(Source!AC79*Source!I79, 2)</f>
        <v>717.16</v>
      </c>
      <c r="J126" s="33"/>
      <c r="K126" s="33">
        <f>IF(Source!BC79&lt;&gt; 0, Source!BC79, 1)</f>
        <v>6.83</v>
      </c>
      <c r="L126" s="32">
        <f>Source!P79</f>
        <v>4898.1899999999996</v>
      </c>
      <c r="M126" s="34"/>
    </row>
    <row r="127" spans="1:26" ht="14.25" x14ac:dyDescent="0.2">
      <c r="A127" s="48"/>
      <c r="B127" s="48"/>
      <c r="C127" s="49"/>
      <c r="D127" s="49" t="s">
        <v>526</v>
      </c>
      <c r="E127" s="31" t="s">
        <v>527</v>
      </c>
      <c r="F127" s="10">
        <f>Source!BZ79</f>
        <v>95</v>
      </c>
      <c r="G127" s="53"/>
      <c r="H127" s="33"/>
      <c r="I127" s="32">
        <f>SUM(S122:S129)</f>
        <v>2330.85</v>
      </c>
      <c r="J127" s="35"/>
      <c r="K127" s="30">
        <f>Source!AT79</f>
        <v>95</v>
      </c>
      <c r="L127" s="32">
        <f>SUM(T122:T129)</f>
        <v>70042.259999999995</v>
      </c>
      <c r="M127" s="34"/>
    </row>
    <row r="128" spans="1:26" ht="14.25" x14ac:dyDescent="0.2">
      <c r="A128" s="48"/>
      <c r="B128" s="48"/>
      <c r="C128" s="49"/>
      <c r="D128" s="49" t="s">
        <v>528</v>
      </c>
      <c r="E128" s="31" t="s">
        <v>527</v>
      </c>
      <c r="F128" s="10">
        <f>Source!CA79</f>
        <v>65</v>
      </c>
      <c r="G128" s="53"/>
      <c r="H128" s="33"/>
      <c r="I128" s="32">
        <f>SUM(U122:U129)</f>
        <v>1594.79</v>
      </c>
      <c r="J128" s="35"/>
      <c r="K128" s="30">
        <f>Source!AU79</f>
        <v>65</v>
      </c>
      <c r="L128" s="32">
        <f>SUM(V122:V129)</f>
        <v>47923.65</v>
      </c>
      <c r="M128" s="34"/>
    </row>
    <row r="129" spans="1:26" ht="14.25" x14ac:dyDescent="0.2">
      <c r="A129" s="50"/>
      <c r="B129" s="50"/>
      <c r="C129" s="51"/>
      <c r="D129" s="51" t="s">
        <v>529</v>
      </c>
      <c r="E129" s="36" t="s">
        <v>530</v>
      </c>
      <c r="F129" s="37">
        <f>Source!AQ79</f>
        <v>17.440000000000001</v>
      </c>
      <c r="G129" s="38"/>
      <c r="H129" s="39" t="str">
        <f>Source!DI79</f>
        <v>)*1,2)*1,15</v>
      </c>
      <c r="I129" s="38"/>
      <c r="J129" s="39"/>
      <c r="K129" s="39"/>
      <c r="L129" s="38"/>
      <c r="M129" s="40">
        <f>Source!U79</f>
        <v>230.56377599999999</v>
      </c>
    </row>
    <row r="130" spans="1:26" ht="15" x14ac:dyDescent="0.25">
      <c r="H130" s="81">
        <f>I123+I124+I126+I127+I128</f>
        <v>11218.220000000001</v>
      </c>
      <c r="I130" s="81"/>
      <c r="K130" s="81">
        <f>L123+L124+L126+L127+L128</f>
        <v>227772.37999999998</v>
      </c>
      <c r="L130" s="81"/>
      <c r="M130" s="41">
        <f>Source!U79</f>
        <v>230.56377599999999</v>
      </c>
      <c r="O130" s="26">
        <f>H130</f>
        <v>11218.220000000001</v>
      </c>
      <c r="P130" s="26">
        <f>K130</f>
        <v>227772.37999999998</v>
      </c>
      <c r="Q130" s="26">
        <f>M130</f>
        <v>230.56377599999999</v>
      </c>
      <c r="W130">
        <f>IF(Source!BI79&lt;=1,I123+I124+I126+I127+I128, 0)</f>
        <v>0</v>
      </c>
      <c r="X130">
        <f>IF(Source!BI79=2,I123+I124+I126+I127+I128, 0)</f>
        <v>11218.220000000001</v>
      </c>
      <c r="Y130">
        <f>IF(Source!BI79=3,I123+I124+I126+I127+I128, 0)</f>
        <v>0</v>
      </c>
      <c r="Z130">
        <f>IF(Source!BI79=4,I123+I124+I126+I127+I128, 0)</f>
        <v>0</v>
      </c>
    </row>
    <row r="131" spans="1:26" ht="105" x14ac:dyDescent="0.2">
      <c r="A131" s="48">
        <v>19</v>
      </c>
      <c r="B131" s="48" t="str">
        <f>Source!E80</f>
        <v>13</v>
      </c>
      <c r="C131" s="49" t="s">
        <v>549</v>
      </c>
      <c r="D131" s="49" t="str">
        <f>Source!G80</f>
        <v>Кабель до 35 кВ в проложенных трубах, блоках и коробах, масса 1 м кабеля до 6 кг</v>
      </c>
      <c r="E131" s="31" t="str">
        <f>Source!H80</f>
        <v>100 М КАБЕЛЯ</v>
      </c>
      <c r="F131" s="10">
        <f>Source!I80</f>
        <v>0.7</v>
      </c>
      <c r="G131" s="32">
        <f>Source!AL80+Source!AM80+Source!AO80</f>
        <v>353.90999999999997</v>
      </c>
      <c r="H131" s="33"/>
      <c r="I131" s="32"/>
      <c r="J131" s="33" t="str">
        <f>Source!BO80</f>
        <v>м08-02-148-4</v>
      </c>
      <c r="K131" s="33"/>
      <c r="L131" s="32"/>
      <c r="M131" s="34"/>
      <c r="S131">
        <f>ROUND((Source!FX80/100)*((ROUND(Source!AF80*Source!I80, 2)+ROUND(Source!AE80*Source!I80, 2))), 2)</f>
        <v>205.87</v>
      </c>
      <c r="T131">
        <f>Source!X80</f>
        <v>6186.62</v>
      </c>
      <c r="U131">
        <f>ROUND((Source!FY80/100)*((ROUND(Source!AF80*Source!I80, 2)+ROUND(Source!AE80*Source!I80, 2))), 2)</f>
        <v>140.86000000000001</v>
      </c>
      <c r="V131">
        <f>Source!Y80</f>
        <v>4232.95</v>
      </c>
    </row>
    <row r="132" spans="1:26" ht="14.25" x14ac:dyDescent="0.2">
      <c r="A132" s="48"/>
      <c r="B132" s="48"/>
      <c r="C132" s="49"/>
      <c r="D132" s="49" t="s">
        <v>525</v>
      </c>
      <c r="E132" s="31"/>
      <c r="F132" s="10"/>
      <c r="G132" s="32">
        <f>Source!AO80</f>
        <v>221.64</v>
      </c>
      <c r="H132" s="33" t="str">
        <f>Source!DG80</f>
        <v>)*1,2)*1,15</v>
      </c>
      <c r="I132" s="32">
        <f>ROUND(Source!AF80*Source!I80, 2)</f>
        <v>214.1</v>
      </c>
      <c r="J132" s="33"/>
      <c r="K132" s="33">
        <f>IF(Source!BA80&lt;&gt; 0, Source!BA80, 1)</f>
        <v>30.05</v>
      </c>
      <c r="L132" s="32">
        <f>Source!S80</f>
        <v>6433.77</v>
      </c>
      <c r="M132" s="34"/>
      <c r="R132">
        <f>I132</f>
        <v>214.1</v>
      </c>
    </row>
    <row r="133" spans="1:26" ht="14.25" x14ac:dyDescent="0.2">
      <c r="A133" s="48"/>
      <c r="B133" s="48"/>
      <c r="C133" s="49"/>
      <c r="D133" s="49" t="s">
        <v>151</v>
      </c>
      <c r="E133" s="31"/>
      <c r="F133" s="10"/>
      <c r="G133" s="32">
        <f>Source!AM80</f>
        <v>92.01</v>
      </c>
      <c r="H133" s="33" t="str">
        <f>Source!DE80</f>
        <v>)*1,2)*1,15</v>
      </c>
      <c r="I133" s="32">
        <f>ROUND(Source!AD80*Source!I80, 2)</f>
        <v>88.89</v>
      </c>
      <c r="J133" s="33"/>
      <c r="K133" s="33">
        <f>IF(Source!BB80&lt;&gt; 0, Source!BB80, 1)</f>
        <v>8.83</v>
      </c>
      <c r="L133" s="32">
        <f>Source!Q80</f>
        <v>784.86</v>
      </c>
      <c r="M133" s="34"/>
    </row>
    <row r="134" spans="1:26" ht="14.25" x14ac:dyDescent="0.2">
      <c r="A134" s="48"/>
      <c r="B134" s="48"/>
      <c r="C134" s="49"/>
      <c r="D134" s="49" t="s">
        <v>533</v>
      </c>
      <c r="E134" s="31"/>
      <c r="F134" s="10"/>
      <c r="G134" s="32">
        <f>Source!AN80</f>
        <v>2.7</v>
      </c>
      <c r="H134" s="33" t="str">
        <f>Source!DF80</f>
        <v>)*1,2)*1,15</v>
      </c>
      <c r="I134" s="47">
        <f>ROUND(Source!AE80*Source!I80, 2)</f>
        <v>2.61</v>
      </c>
      <c r="J134" s="33"/>
      <c r="K134" s="33">
        <f>IF(Source!BS80&lt;&gt; 0, Source!BS80, 1)</f>
        <v>30.05</v>
      </c>
      <c r="L134" s="47">
        <f>Source!R80</f>
        <v>78.459999999999994</v>
      </c>
      <c r="M134" s="34"/>
      <c r="R134">
        <f>I134</f>
        <v>2.61</v>
      </c>
    </row>
    <row r="135" spans="1:26" ht="14.25" x14ac:dyDescent="0.2">
      <c r="A135" s="48"/>
      <c r="B135" s="48"/>
      <c r="C135" s="49"/>
      <c r="D135" s="49" t="s">
        <v>536</v>
      </c>
      <c r="E135" s="31"/>
      <c r="F135" s="10"/>
      <c r="G135" s="32">
        <f>Source!AL80</f>
        <v>40.26</v>
      </c>
      <c r="H135" s="33" t="str">
        <f>Source!DD80</f>
        <v/>
      </c>
      <c r="I135" s="32">
        <f>ROUND(Source!AC80*Source!I80, 2)</f>
        <v>28.18</v>
      </c>
      <c r="J135" s="33"/>
      <c r="K135" s="33">
        <f>IF(Source!BC80&lt;&gt; 0, Source!BC80, 1)</f>
        <v>10.119999999999999</v>
      </c>
      <c r="L135" s="32">
        <f>Source!P80</f>
        <v>285.2</v>
      </c>
      <c r="M135" s="34"/>
    </row>
    <row r="136" spans="1:26" ht="14.25" x14ac:dyDescent="0.2">
      <c r="A136" s="48"/>
      <c r="B136" s="48"/>
      <c r="C136" s="49"/>
      <c r="D136" s="49" t="s">
        <v>526</v>
      </c>
      <c r="E136" s="31" t="s">
        <v>527</v>
      </c>
      <c r="F136" s="10">
        <f>Source!BZ80</f>
        <v>95</v>
      </c>
      <c r="G136" s="53"/>
      <c r="H136" s="33"/>
      <c r="I136" s="32">
        <f>SUM(S131:S138)</f>
        <v>205.87</v>
      </c>
      <c r="J136" s="35"/>
      <c r="K136" s="30">
        <f>Source!AT80</f>
        <v>95</v>
      </c>
      <c r="L136" s="32">
        <f>SUM(T131:T138)</f>
        <v>6186.62</v>
      </c>
      <c r="M136" s="34"/>
    </row>
    <row r="137" spans="1:26" ht="14.25" x14ac:dyDescent="0.2">
      <c r="A137" s="48"/>
      <c r="B137" s="48"/>
      <c r="C137" s="49"/>
      <c r="D137" s="49" t="s">
        <v>528</v>
      </c>
      <c r="E137" s="31" t="s">
        <v>527</v>
      </c>
      <c r="F137" s="10">
        <f>Source!CA80</f>
        <v>65</v>
      </c>
      <c r="G137" s="53"/>
      <c r="H137" s="33"/>
      <c r="I137" s="32">
        <f>SUM(U131:U138)</f>
        <v>140.86000000000001</v>
      </c>
      <c r="J137" s="35"/>
      <c r="K137" s="30">
        <f>Source!AU80</f>
        <v>65</v>
      </c>
      <c r="L137" s="32">
        <f>SUM(V131:V138)</f>
        <v>4232.95</v>
      </c>
      <c r="M137" s="34"/>
    </row>
    <row r="138" spans="1:26" ht="14.25" x14ac:dyDescent="0.2">
      <c r="A138" s="50"/>
      <c r="B138" s="50"/>
      <c r="C138" s="51"/>
      <c r="D138" s="51" t="s">
        <v>529</v>
      </c>
      <c r="E138" s="36" t="s">
        <v>530</v>
      </c>
      <c r="F138" s="37">
        <f>Source!AQ80</f>
        <v>23.04</v>
      </c>
      <c r="G138" s="38"/>
      <c r="H138" s="39" t="str">
        <f>Source!DI80</f>
        <v>)*1,2)*1,15</v>
      </c>
      <c r="I138" s="38"/>
      <c r="J138" s="39"/>
      <c r="K138" s="39"/>
      <c r="L138" s="38"/>
      <c r="M138" s="40">
        <f>Source!U80</f>
        <v>22.256639999999997</v>
      </c>
    </row>
    <row r="139" spans="1:26" ht="15" x14ac:dyDescent="0.25">
      <c r="H139" s="81">
        <f>I132+I133+I135+I136+I137</f>
        <v>677.9</v>
      </c>
      <c r="I139" s="81"/>
      <c r="K139" s="81">
        <f>L132+L133+L135+L136+L137</f>
        <v>17923.400000000001</v>
      </c>
      <c r="L139" s="81"/>
      <c r="M139" s="41">
        <f>Source!U80</f>
        <v>22.256639999999997</v>
      </c>
      <c r="O139" s="26">
        <f>H139</f>
        <v>677.9</v>
      </c>
      <c r="P139" s="26">
        <f>K139</f>
        <v>17923.400000000001</v>
      </c>
      <c r="Q139" s="26">
        <f>M139</f>
        <v>22.256639999999997</v>
      </c>
      <c r="W139">
        <f>IF(Source!BI80&lt;=1,I132+I133+I135+I136+I137, 0)</f>
        <v>0</v>
      </c>
      <c r="X139">
        <f>IF(Source!BI80=2,I132+I133+I135+I136+I137, 0)</f>
        <v>677.9</v>
      </c>
      <c r="Y139">
        <f>IF(Source!BI80=3,I132+I133+I135+I136+I137, 0)</f>
        <v>0</v>
      </c>
      <c r="Z139">
        <f>IF(Source!BI80=4,I132+I133+I135+I136+I137, 0)</f>
        <v>0</v>
      </c>
    </row>
    <row r="140" spans="1:26" ht="66.75" x14ac:dyDescent="0.2">
      <c r="A140" s="48">
        <v>20</v>
      </c>
      <c r="B140" s="48" t="str">
        <f>Source!E81</f>
        <v>14</v>
      </c>
      <c r="C140" s="49" t="s">
        <v>550</v>
      </c>
      <c r="D140" s="49" t="str">
        <f>Source!G81</f>
        <v>Кабель до 35 кВ с креплением накладными скобами, масса 1 м кабеля до 6 кг ( на опоре)</v>
      </c>
      <c r="E140" s="31" t="str">
        <f>Source!H81</f>
        <v>100 М КАБЕЛЯ</v>
      </c>
      <c r="F140" s="10">
        <f>Source!I81</f>
        <v>0.12</v>
      </c>
      <c r="G140" s="32">
        <f>Source!AL81+Source!AM81+Source!AO81</f>
        <v>1456.69</v>
      </c>
      <c r="H140" s="33"/>
      <c r="I140" s="32"/>
      <c r="J140" s="33" t="str">
        <f>Source!BO81</f>
        <v>м08-02-146-5</v>
      </c>
      <c r="K140" s="33"/>
      <c r="L140" s="32"/>
      <c r="M140" s="34"/>
      <c r="S140">
        <f>ROUND((Source!FX81/100)*((ROUND(Source!AF81*Source!I81, 2)+ROUND(Source!AE81*Source!I81, 2))), 2)</f>
        <v>51.83</v>
      </c>
      <c r="T140">
        <f>Source!X81</f>
        <v>1557.74</v>
      </c>
      <c r="U140">
        <f>ROUND((Source!FY81/100)*((ROUND(Source!AF81*Source!I81, 2)+ROUND(Source!AE81*Source!I81, 2))), 2)</f>
        <v>35.46</v>
      </c>
      <c r="V140">
        <f>Source!Y81</f>
        <v>1065.82</v>
      </c>
    </row>
    <row r="141" spans="1:26" ht="14.25" x14ac:dyDescent="0.2">
      <c r="A141" s="48"/>
      <c r="B141" s="48"/>
      <c r="C141" s="49"/>
      <c r="D141" s="49" t="s">
        <v>525</v>
      </c>
      <c r="E141" s="31"/>
      <c r="F141" s="10"/>
      <c r="G141" s="32">
        <f>Source!AO81</f>
        <v>233.96</v>
      </c>
      <c r="H141" s="33" t="str">
        <f>Source!DG81</f>
        <v>)*1,35</v>
      </c>
      <c r="I141" s="32">
        <f>ROUND(Source!AF81*Source!I81, 2)</f>
        <v>37.9</v>
      </c>
      <c r="J141" s="33"/>
      <c r="K141" s="33">
        <f>IF(Source!BA81&lt;&gt; 0, Source!BA81, 1)</f>
        <v>30.05</v>
      </c>
      <c r="L141" s="32">
        <f>Source!S81</f>
        <v>1138.96</v>
      </c>
      <c r="M141" s="34"/>
      <c r="R141">
        <f>I141</f>
        <v>37.9</v>
      </c>
    </row>
    <row r="142" spans="1:26" ht="14.25" x14ac:dyDescent="0.2">
      <c r="A142" s="48"/>
      <c r="B142" s="48"/>
      <c r="C142" s="49"/>
      <c r="D142" s="49" t="s">
        <v>151</v>
      </c>
      <c r="E142" s="31"/>
      <c r="F142" s="10"/>
      <c r="G142" s="32">
        <f>Source!AM81</f>
        <v>1154.83</v>
      </c>
      <c r="H142" s="33" t="str">
        <f>Source!DE81</f>
        <v>)*1,35</v>
      </c>
      <c r="I142" s="32">
        <f>ROUND(Source!AD81*Source!I81, 2)</f>
        <v>187.08</v>
      </c>
      <c r="J142" s="33"/>
      <c r="K142" s="33">
        <f>IF(Source!BB81&lt;&gt; 0, Source!BB81, 1)</f>
        <v>6.9</v>
      </c>
      <c r="L142" s="32">
        <f>Source!Q81</f>
        <v>1290.8699999999999</v>
      </c>
      <c r="M142" s="34"/>
    </row>
    <row r="143" spans="1:26" ht="14.25" x14ac:dyDescent="0.2">
      <c r="A143" s="48"/>
      <c r="B143" s="48"/>
      <c r="C143" s="49"/>
      <c r="D143" s="49" t="s">
        <v>533</v>
      </c>
      <c r="E143" s="31"/>
      <c r="F143" s="10"/>
      <c r="G143" s="32">
        <f>Source!AN81</f>
        <v>102.87</v>
      </c>
      <c r="H143" s="33" t="str">
        <f>Source!DF81</f>
        <v>)*1,35</v>
      </c>
      <c r="I143" s="47">
        <f>ROUND(Source!AE81*Source!I81, 2)</f>
        <v>16.66</v>
      </c>
      <c r="J143" s="33"/>
      <c r="K143" s="33">
        <f>IF(Source!BS81&lt;&gt; 0, Source!BS81, 1)</f>
        <v>30.05</v>
      </c>
      <c r="L143" s="47">
        <f>Source!R81</f>
        <v>500.77</v>
      </c>
      <c r="M143" s="34"/>
      <c r="R143">
        <f>I143</f>
        <v>16.66</v>
      </c>
    </row>
    <row r="144" spans="1:26" ht="14.25" x14ac:dyDescent="0.2">
      <c r="A144" s="48"/>
      <c r="B144" s="48"/>
      <c r="C144" s="49"/>
      <c r="D144" s="49" t="s">
        <v>536</v>
      </c>
      <c r="E144" s="31"/>
      <c r="F144" s="10"/>
      <c r="G144" s="32">
        <f>Source!AL81</f>
        <v>67.900000000000006</v>
      </c>
      <c r="H144" s="33" t="str">
        <f>Source!DD81</f>
        <v/>
      </c>
      <c r="I144" s="32">
        <f>ROUND(Source!AC81*Source!I81, 2)</f>
        <v>8.15</v>
      </c>
      <c r="J144" s="33"/>
      <c r="K144" s="33">
        <f>IF(Source!BC81&lt;&gt; 0, Source!BC81, 1)</f>
        <v>9.8000000000000007</v>
      </c>
      <c r="L144" s="32">
        <f>Source!P81</f>
        <v>79.849999999999994</v>
      </c>
      <c r="M144" s="34"/>
    </row>
    <row r="145" spans="1:26" ht="14.25" x14ac:dyDescent="0.2">
      <c r="A145" s="48"/>
      <c r="B145" s="48"/>
      <c r="C145" s="49"/>
      <c r="D145" s="49" t="s">
        <v>526</v>
      </c>
      <c r="E145" s="31" t="s">
        <v>527</v>
      </c>
      <c r="F145" s="10">
        <f>Source!BZ81</f>
        <v>95</v>
      </c>
      <c r="G145" s="53"/>
      <c r="H145" s="33"/>
      <c r="I145" s="32">
        <f>SUM(S140:S147)</f>
        <v>51.83</v>
      </c>
      <c r="J145" s="35"/>
      <c r="K145" s="30">
        <f>Source!AT81</f>
        <v>95</v>
      </c>
      <c r="L145" s="32">
        <f>SUM(T140:T147)</f>
        <v>1557.74</v>
      </c>
      <c r="M145" s="34"/>
    </row>
    <row r="146" spans="1:26" ht="14.25" x14ac:dyDescent="0.2">
      <c r="A146" s="48"/>
      <c r="B146" s="48"/>
      <c r="C146" s="49"/>
      <c r="D146" s="49" t="s">
        <v>528</v>
      </c>
      <c r="E146" s="31" t="s">
        <v>527</v>
      </c>
      <c r="F146" s="10">
        <f>Source!CA81</f>
        <v>65</v>
      </c>
      <c r="G146" s="53"/>
      <c r="H146" s="33"/>
      <c r="I146" s="32">
        <f>SUM(U140:U147)</f>
        <v>35.46</v>
      </c>
      <c r="J146" s="35"/>
      <c r="K146" s="30">
        <f>Source!AU81</f>
        <v>65</v>
      </c>
      <c r="L146" s="32">
        <f>SUM(V140:V147)</f>
        <v>1065.82</v>
      </c>
      <c r="M146" s="34"/>
    </row>
    <row r="147" spans="1:26" ht="14.25" x14ac:dyDescent="0.2">
      <c r="A147" s="50"/>
      <c r="B147" s="50"/>
      <c r="C147" s="51"/>
      <c r="D147" s="51" t="s">
        <v>529</v>
      </c>
      <c r="E147" s="36" t="s">
        <v>530</v>
      </c>
      <c r="F147" s="37">
        <f>Source!AQ81</f>
        <v>24.32</v>
      </c>
      <c r="G147" s="38"/>
      <c r="H147" s="39" t="str">
        <f>Source!DI81</f>
        <v>)*1,35</v>
      </c>
      <c r="I147" s="38"/>
      <c r="J147" s="39"/>
      <c r="K147" s="39"/>
      <c r="L147" s="38"/>
      <c r="M147" s="40">
        <f>Source!U81</f>
        <v>3.9398399999999998</v>
      </c>
    </row>
    <row r="148" spans="1:26" ht="15" x14ac:dyDescent="0.25">
      <c r="H148" s="81">
        <f>I141+I142+I144+I145+I146</f>
        <v>320.42</v>
      </c>
      <c r="I148" s="81"/>
      <c r="K148" s="81">
        <f>L141+L142+L144+L145+L146</f>
        <v>5133.24</v>
      </c>
      <c r="L148" s="81"/>
      <c r="M148" s="41">
        <f>Source!U81</f>
        <v>3.9398399999999998</v>
      </c>
      <c r="O148" s="26">
        <f>H148</f>
        <v>320.42</v>
      </c>
      <c r="P148" s="26">
        <f>K148</f>
        <v>5133.24</v>
      </c>
      <c r="Q148" s="26">
        <f>M148</f>
        <v>3.9398399999999998</v>
      </c>
      <c r="W148">
        <f>IF(Source!BI81&lt;=1,I141+I142+I144+I145+I146, 0)</f>
        <v>0</v>
      </c>
      <c r="X148">
        <f>IF(Source!BI81=2,I141+I142+I144+I145+I146, 0)</f>
        <v>320.42</v>
      </c>
      <c r="Y148">
        <f>IF(Source!BI81=3,I141+I142+I144+I145+I146, 0)</f>
        <v>0</v>
      </c>
      <c r="Z148">
        <f>IF(Source!BI81=4,I141+I142+I144+I145+I146, 0)</f>
        <v>0</v>
      </c>
    </row>
    <row r="149" spans="1:26" ht="105" x14ac:dyDescent="0.2">
      <c r="A149" s="48">
        <v>21</v>
      </c>
      <c r="B149" s="48" t="str">
        <f>Source!E82</f>
        <v>15</v>
      </c>
      <c r="C149" s="49" t="s">
        <v>551</v>
      </c>
      <c r="D149" s="49" t="str">
        <f>Source!G82</f>
        <v>Кожух металлический для защиты вводов и электрооборудования</v>
      </c>
      <c r="E149" s="31" t="str">
        <f>Source!H82</f>
        <v>1 кг</v>
      </c>
      <c r="F149" s="10">
        <f>Source!I82</f>
        <v>75.5</v>
      </c>
      <c r="G149" s="32">
        <f>Source!AL82+Source!AM82+Source!AO82</f>
        <v>8.2099999999999991</v>
      </c>
      <c r="H149" s="33"/>
      <c r="I149" s="32"/>
      <c r="J149" s="33" t="str">
        <f>Source!BO82</f>
        <v>м08-03-545-17</v>
      </c>
      <c r="K149" s="33"/>
      <c r="L149" s="32"/>
      <c r="M149" s="34"/>
      <c r="S149">
        <f>ROUND((Source!FX82/100)*((ROUND(Source!AF82*Source!I82, 2)+ROUND(Source!AE82*Source!I82, 2))), 2)</f>
        <v>154.21</v>
      </c>
      <c r="T149">
        <f>Source!X82</f>
        <v>4633.9799999999996</v>
      </c>
      <c r="U149">
        <f>ROUND((Source!FY82/100)*((ROUND(Source!AF82*Source!I82, 2)+ROUND(Source!AE82*Source!I82, 2))), 2)</f>
        <v>105.51</v>
      </c>
      <c r="V149">
        <f>Source!Y82</f>
        <v>3170.62</v>
      </c>
    </row>
    <row r="150" spans="1:26" ht="14.25" x14ac:dyDescent="0.2">
      <c r="A150" s="48"/>
      <c r="B150" s="48"/>
      <c r="C150" s="49"/>
      <c r="D150" s="49" t="s">
        <v>525</v>
      </c>
      <c r="E150" s="31"/>
      <c r="F150" s="10"/>
      <c r="G150" s="32">
        <f>Source!AO82</f>
        <v>1.56</v>
      </c>
      <c r="H150" s="33" t="str">
        <f>Source!DG82</f>
        <v>)*1,2)*1,15</v>
      </c>
      <c r="I150" s="32">
        <f>ROUND(Source!AF82*Source!I82, 2)</f>
        <v>162.33000000000001</v>
      </c>
      <c r="J150" s="33"/>
      <c r="K150" s="33">
        <f>IF(Source!BA82&lt;&gt; 0, Source!BA82, 1)</f>
        <v>30.05</v>
      </c>
      <c r="L150" s="32">
        <f>Source!S82</f>
        <v>4877.87</v>
      </c>
      <c r="M150" s="34"/>
      <c r="R150">
        <f>I150</f>
        <v>162.33000000000001</v>
      </c>
    </row>
    <row r="151" spans="1:26" ht="14.25" x14ac:dyDescent="0.2">
      <c r="A151" s="48"/>
      <c r="B151" s="48"/>
      <c r="C151" s="49"/>
      <c r="D151" s="49" t="s">
        <v>151</v>
      </c>
      <c r="E151" s="31"/>
      <c r="F151" s="10"/>
      <c r="G151" s="32">
        <f>Source!AM82</f>
        <v>0.14000000000000001</v>
      </c>
      <c r="H151" s="33" t="str">
        <f>Source!DE82</f>
        <v>)*1,2)*1,15</v>
      </c>
      <c r="I151" s="32">
        <f>ROUND(Source!AD82*Source!I82, 2)</f>
        <v>14.35</v>
      </c>
      <c r="J151" s="33"/>
      <c r="K151" s="33">
        <f>IF(Source!BB82&lt;&gt; 0, Source!BB82, 1)</f>
        <v>5.71</v>
      </c>
      <c r="L151" s="32">
        <f>Source!Q82</f>
        <v>81.91</v>
      </c>
      <c r="M151" s="34"/>
    </row>
    <row r="152" spans="1:26" ht="14.25" x14ac:dyDescent="0.2">
      <c r="A152" s="48"/>
      <c r="B152" s="48"/>
      <c r="C152" s="49"/>
      <c r="D152" s="49" t="s">
        <v>536</v>
      </c>
      <c r="E152" s="31"/>
      <c r="F152" s="10"/>
      <c r="G152" s="32">
        <f>Source!AL82</f>
        <v>6.51</v>
      </c>
      <c r="H152" s="33" t="str">
        <f>Source!DD82</f>
        <v/>
      </c>
      <c r="I152" s="32">
        <f>ROUND(Source!AC82*Source!I82, 2)</f>
        <v>491.51</v>
      </c>
      <c r="J152" s="33"/>
      <c r="K152" s="33">
        <f>IF(Source!BC82&lt;&gt; 0, Source!BC82, 1)</f>
        <v>16.989999999999998</v>
      </c>
      <c r="L152" s="32">
        <f>Source!P82</f>
        <v>8350.67</v>
      </c>
      <c r="M152" s="34"/>
    </row>
    <row r="153" spans="1:26" ht="14.25" x14ac:dyDescent="0.2">
      <c r="A153" s="48"/>
      <c r="B153" s="48"/>
      <c r="C153" s="49"/>
      <c r="D153" s="49" t="s">
        <v>526</v>
      </c>
      <c r="E153" s="31" t="s">
        <v>527</v>
      </c>
      <c r="F153" s="10">
        <f>Source!BZ82</f>
        <v>95</v>
      </c>
      <c r="G153" s="53"/>
      <c r="H153" s="33"/>
      <c r="I153" s="32">
        <f>SUM(S149:S156)</f>
        <v>154.21</v>
      </c>
      <c r="J153" s="35"/>
      <c r="K153" s="30">
        <f>Source!AT82</f>
        <v>95</v>
      </c>
      <c r="L153" s="32">
        <f>SUM(T149:T156)</f>
        <v>4633.9799999999996</v>
      </c>
      <c r="M153" s="34"/>
    </row>
    <row r="154" spans="1:26" ht="14.25" x14ac:dyDescent="0.2">
      <c r="A154" s="48"/>
      <c r="B154" s="48"/>
      <c r="C154" s="49"/>
      <c r="D154" s="49" t="s">
        <v>528</v>
      </c>
      <c r="E154" s="31" t="s">
        <v>527</v>
      </c>
      <c r="F154" s="10">
        <f>Source!CA82</f>
        <v>65</v>
      </c>
      <c r="G154" s="53"/>
      <c r="H154" s="33"/>
      <c r="I154" s="32">
        <f>SUM(U149:U156)</f>
        <v>105.51</v>
      </c>
      <c r="J154" s="35"/>
      <c r="K154" s="30">
        <f>Source!AU82</f>
        <v>65</v>
      </c>
      <c r="L154" s="32">
        <f>SUM(V149:V156)</f>
        <v>3170.62</v>
      </c>
      <c r="M154" s="34"/>
    </row>
    <row r="155" spans="1:26" ht="14.25" x14ac:dyDescent="0.2">
      <c r="A155" s="48"/>
      <c r="B155" s="48"/>
      <c r="C155" s="49"/>
      <c r="D155" s="49" t="s">
        <v>529</v>
      </c>
      <c r="E155" s="31" t="s">
        <v>530</v>
      </c>
      <c r="F155" s="10">
        <f>Source!AQ82</f>
        <v>0.17</v>
      </c>
      <c r="G155" s="32"/>
      <c r="H155" s="33" t="str">
        <f>Source!DI82</f>
        <v>)*1,2)*1,15</v>
      </c>
      <c r="I155" s="32"/>
      <c r="J155" s="33"/>
      <c r="K155" s="33"/>
      <c r="L155" s="32"/>
      <c r="M155" s="44">
        <f>Source!U82</f>
        <v>17.712299999999999</v>
      </c>
    </row>
    <row r="156" spans="1:26" ht="42.75" x14ac:dyDescent="0.2">
      <c r="A156" s="50">
        <v>22</v>
      </c>
      <c r="B156" s="50" t="str">
        <f>Source!E83</f>
        <v>15,1</v>
      </c>
      <c r="C156" s="51" t="s">
        <v>552</v>
      </c>
      <c r="D156" s="51" t="str">
        <f>Source!G83</f>
        <v>Сталь угловая равнополочная, марка стали ВСт3кп2, размером 100х100х10 мм</v>
      </c>
      <c r="E156" s="36" t="str">
        <f>Source!H83</f>
        <v>т</v>
      </c>
      <c r="F156" s="37">
        <f>Source!I83</f>
        <v>7.5499999999999998E-2</v>
      </c>
      <c r="G156" s="38">
        <f>Source!AL83+Source!AM83+Source!AO83</f>
        <v>5763</v>
      </c>
      <c r="H156" s="46" t="s">
        <v>6</v>
      </c>
      <c r="I156" s="38">
        <f>ROUND(Source!AC83*Source!I83, 2)+ROUND(Source!AD83*Source!I83, 2)+ROUND(Source!AF83*Source!I83, 2)</f>
        <v>435.11</v>
      </c>
      <c r="J156" s="39"/>
      <c r="K156" s="39">
        <f>IF(Source!BC83&lt;&gt; 0, Source!BC83, 1)</f>
        <v>5.81</v>
      </c>
      <c r="L156" s="38">
        <f>Source!O83</f>
        <v>2527.9699999999998</v>
      </c>
      <c r="M156" s="43"/>
      <c r="S156">
        <f>ROUND((Source!FX83/100)*((ROUND(Source!AF83*Source!I83, 2)+ROUND(Source!AE83*Source!I83, 2))), 2)</f>
        <v>0</v>
      </c>
      <c r="T156">
        <f>Source!X83</f>
        <v>0</v>
      </c>
      <c r="U156">
        <f>ROUND((Source!FY83/100)*((ROUND(Source!AF83*Source!I83, 2)+ROUND(Source!AE83*Source!I83, 2))), 2)</f>
        <v>0</v>
      </c>
      <c r="V156">
        <f>Source!Y83</f>
        <v>0</v>
      </c>
      <c r="W156">
        <f>IF(Source!BI83&lt;=1,I156, 0)</f>
        <v>435.11</v>
      </c>
      <c r="X156">
        <f>IF(Source!BI83=2,I156, 0)</f>
        <v>0</v>
      </c>
      <c r="Y156">
        <f>IF(Source!BI83=3,I156, 0)</f>
        <v>0</v>
      </c>
      <c r="Z156">
        <f>IF(Source!BI83=4,I156, 0)</f>
        <v>0</v>
      </c>
    </row>
    <row r="157" spans="1:26" ht="15" x14ac:dyDescent="0.25">
      <c r="H157" s="81">
        <f>I150+I151+I152+I153+I154+SUM(I156:I156)</f>
        <v>1363.02</v>
      </c>
      <c r="I157" s="81"/>
      <c r="K157" s="81">
        <f>L150+L151+L152+L153+L154+SUM(L156:L156)</f>
        <v>23643.02</v>
      </c>
      <c r="L157" s="81"/>
      <c r="M157" s="41">
        <f>Source!U82</f>
        <v>17.712299999999999</v>
      </c>
      <c r="O157" s="26">
        <f>H157</f>
        <v>1363.02</v>
      </c>
      <c r="P157" s="26">
        <f>K157</f>
        <v>23643.02</v>
      </c>
      <c r="Q157" s="26">
        <f>M157</f>
        <v>17.712299999999999</v>
      </c>
      <c r="W157">
        <f>IF(Source!BI82&lt;=1,I150+I151+I152+I153+I154, 0)</f>
        <v>0</v>
      </c>
      <c r="X157">
        <f>IF(Source!BI82=2,I150+I151+I152+I153+I154, 0)</f>
        <v>927.91000000000008</v>
      </c>
      <c r="Y157">
        <f>IF(Source!BI82=3,I150+I151+I152+I153+I154, 0)</f>
        <v>0</v>
      </c>
      <c r="Z157">
        <f>IF(Source!BI82=4,I150+I151+I152+I153+I154, 0)</f>
        <v>0</v>
      </c>
    </row>
    <row r="158" spans="1:26" ht="66.75" x14ac:dyDescent="0.2">
      <c r="A158" s="48">
        <v>23</v>
      </c>
      <c r="B158" s="48" t="str">
        <f>Source!E84</f>
        <v>16</v>
      </c>
      <c r="C158" s="49" t="s">
        <v>553</v>
      </c>
      <c r="D158" s="49" t="str">
        <f>Source!G84</f>
        <v>Муфта концевая эпоксидная для 3-жильного кабеля напряжением до 10 кВ, сечение одной жилы до 120 мм2</v>
      </c>
      <c r="E158" s="31" t="str">
        <f>Source!H84</f>
        <v>1  ШТ.</v>
      </c>
      <c r="F158" s="10">
        <f>Source!I84</f>
        <v>2</v>
      </c>
      <c r="G158" s="32">
        <f>Source!AL84+Source!AM84+Source!AO84</f>
        <v>766.22</v>
      </c>
      <c r="H158" s="33"/>
      <c r="I158" s="32"/>
      <c r="J158" s="33" t="str">
        <f>Source!BO84</f>
        <v>м08-02-165-7</v>
      </c>
      <c r="K158" s="33"/>
      <c r="L158" s="32"/>
      <c r="M158" s="34"/>
      <c r="S158">
        <f>ROUND((Source!FX84/100)*((ROUND(Source!AF84*Source!I84, 2)+ROUND(Source!AE84*Source!I84, 2))), 2)</f>
        <v>321.02</v>
      </c>
      <c r="T158">
        <f>Source!X84</f>
        <v>9646.7800000000007</v>
      </c>
      <c r="U158">
        <f>ROUND((Source!FY84/100)*((ROUND(Source!AF84*Source!I84, 2)+ROUND(Source!AE84*Source!I84, 2))), 2)</f>
        <v>219.65</v>
      </c>
      <c r="V158">
        <f>Source!Y84</f>
        <v>6600.43</v>
      </c>
    </row>
    <row r="159" spans="1:26" ht="14.25" x14ac:dyDescent="0.2">
      <c r="A159" s="48"/>
      <c r="B159" s="48"/>
      <c r="C159" s="49"/>
      <c r="D159" s="49" t="s">
        <v>525</v>
      </c>
      <c r="E159" s="31"/>
      <c r="F159" s="10"/>
      <c r="G159" s="32">
        <f>Source!AO84</f>
        <v>58.59</v>
      </c>
      <c r="H159" s="33" t="str">
        <f>Source!DG84</f>
        <v>)*1,35</v>
      </c>
      <c r="I159" s="32">
        <f>ROUND(Source!AF84*Source!I84, 2)</f>
        <v>158.19999999999999</v>
      </c>
      <c r="J159" s="33"/>
      <c r="K159" s="33">
        <f>IF(Source!BA84&lt;&gt; 0, Source!BA84, 1)</f>
        <v>30.05</v>
      </c>
      <c r="L159" s="32">
        <f>Source!S84</f>
        <v>4753.91</v>
      </c>
      <c r="M159" s="34"/>
      <c r="R159">
        <f>I159</f>
        <v>158.19999999999999</v>
      </c>
    </row>
    <row r="160" spans="1:26" ht="14.25" x14ac:dyDescent="0.2">
      <c r="A160" s="48"/>
      <c r="B160" s="48"/>
      <c r="C160" s="49"/>
      <c r="D160" s="49" t="s">
        <v>151</v>
      </c>
      <c r="E160" s="31"/>
      <c r="F160" s="10"/>
      <c r="G160" s="32">
        <f>Source!AM84</f>
        <v>704.3</v>
      </c>
      <c r="H160" s="33" t="str">
        <f>Source!DE84</f>
        <v>)*1,35</v>
      </c>
      <c r="I160" s="32">
        <f>ROUND(Source!AD84*Source!I84, 2)</f>
        <v>1901.62</v>
      </c>
      <c r="J160" s="33"/>
      <c r="K160" s="33">
        <f>IF(Source!BB84&lt;&gt; 0, Source!BB84, 1)</f>
        <v>6.73</v>
      </c>
      <c r="L160" s="32">
        <f>Source!Q84</f>
        <v>12797.9</v>
      </c>
      <c r="M160" s="34"/>
    </row>
    <row r="161" spans="1:26" ht="14.25" x14ac:dyDescent="0.2">
      <c r="A161" s="48"/>
      <c r="B161" s="48"/>
      <c r="C161" s="49"/>
      <c r="D161" s="49" t="s">
        <v>533</v>
      </c>
      <c r="E161" s="31"/>
      <c r="F161" s="10"/>
      <c r="G161" s="32">
        <f>Source!AN84</f>
        <v>66.56</v>
      </c>
      <c r="H161" s="33" t="str">
        <f>Source!DF84</f>
        <v>)*1,35</v>
      </c>
      <c r="I161" s="47">
        <f>ROUND(Source!AE84*Source!I84, 2)</f>
        <v>179.72</v>
      </c>
      <c r="J161" s="33"/>
      <c r="K161" s="33">
        <f>IF(Source!BS84&lt;&gt; 0, Source!BS84, 1)</f>
        <v>30.05</v>
      </c>
      <c r="L161" s="47">
        <f>Source!R84</f>
        <v>5400.59</v>
      </c>
      <c r="M161" s="34"/>
      <c r="R161">
        <f>I161</f>
        <v>179.72</v>
      </c>
    </row>
    <row r="162" spans="1:26" ht="14.25" x14ac:dyDescent="0.2">
      <c r="A162" s="48"/>
      <c r="B162" s="48"/>
      <c r="C162" s="49"/>
      <c r="D162" s="49" t="s">
        <v>536</v>
      </c>
      <c r="E162" s="31"/>
      <c r="F162" s="10"/>
      <c r="G162" s="32">
        <f>Source!AL84</f>
        <v>3.33</v>
      </c>
      <c r="H162" s="33" t="str">
        <f>Source!DD84</f>
        <v/>
      </c>
      <c r="I162" s="32">
        <f>ROUND(Source!AC84*Source!I84, 2)</f>
        <v>6.66</v>
      </c>
      <c r="J162" s="33"/>
      <c r="K162" s="33">
        <f>IF(Source!BC84&lt;&gt; 0, Source!BC84, 1)</f>
        <v>19.78</v>
      </c>
      <c r="L162" s="32">
        <f>Source!P84</f>
        <v>131.72999999999999</v>
      </c>
      <c r="M162" s="34"/>
    </row>
    <row r="163" spans="1:26" ht="14.25" x14ac:dyDescent="0.2">
      <c r="A163" s="48"/>
      <c r="B163" s="48"/>
      <c r="C163" s="49"/>
      <c r="D163" s="49" t="s">
        <v>526</v>
      </c>
      <c r="E163" s="31" t="s">
        <v>527</v>
      </c>
      <c r="F163" s="10">
        <f>Source!BZ84</f>
        <v>95</v>
      </c>
      <c r="G163" s="53"/>
      <c r="H163" s="33"/>
      <c r="I163" s="32">
        <f>SUM(S158:S165)</f>
        <v>321.02</v>
      </c>
      <c r="J163" s="35"/>
      <c r="K163" s="30">
        <f>Source!AT84</f>
        <v>95</v>
      </c>
      <c r="L163" s="32">
        <f>SUM(T158:T165)</f>
        <v>9646.7800000000007</v>
      </c>
      <c r="M163" s="34"/>
    </row>
    <row r="164" spans="1:26" ht="14.25" x14ac:dyDescent="0.2">
      <c r="A164" s="48"/>
      <c r="B164" s="48"/>
      <c r="C164" s="49"/>
      <c r="D164" s="49" t="s">
        <v>528</v>
      </c>
      <c r="E164" s="31" t="s">
        <v>527</v>
      </c>
      <c r="F164" s="10">
        <f>Source!CA84</f>
        <v>65</v>
      </c>
      <c r="G164" s="53"/>
      <c r="H164" s="33"/>
      <c r="I164" s="32">
        <f>SUM(U158:U165)</f>
        <v>219.65</v>
      </c>
      <c r="J164" s="35"/>
      <c r="K164" s="30">
        <f>Source!AU84</f>
        <v>65</v>
      </c>
      <c r="L164" s="32">
        <f>SUM(V158:V165)</f>
        <v>6600.43</v>
      </c>
      <c r="M164" s="34"/>
    </row>
    <row r="165" spans="1:26" ht="14.25" x14ac:dyDescent="0.2">
      <c r="A165" s="50"/>
      <c r="B165" s="50"/>
      <c r="C165" s="51"/>
      <c r="D165" s="51" t="s">
        <v>529</v>
      </c>
      <c r="E165" s="36" t="s">
        <v>530</v>
      </c>
      <c r="F165" s="37">
        <f>Source!AQ84</f>
        <v>6.09</v>
      </c>
      <c r="G165" s="38"/>
      <c r="H165" s="39" t="str">
        <f>Source!DI84</f>
        <v>)*1,35</v>
      </c>
      <c r="I165" s="38"/>
      <c r="J165" s="39"/>
      <c r="K165" s="39"/>
      <c r="L165" s="38"/>
      <c r="M165" s="40">
        <f>Source!U84</f>
        <v>16.443000000000001</v>
      </c>
    </row>
    <row r="166" spans="1:26" ht="15" x14ac:dyDescent="0.25">
      <c r="H166" s="81">
        <f>I159+I160+I162+I163+I164</f>
        <v>2607.1499999999996</v>
      </c>
      <c r="I166" s="81"/>
      <c r="K166" s="81">
        <f>L159+L160+L162+L163+L164</f>
        <v>33930.75</v>
      </c>
      <c r="L166" s="81"/>
      <c r="M166" s="41">
        <f>Source!U84</f>
        <v>16.443000000000001</v>
      </c>
      <c r="O166" s="26">
        <f>H166</f>
        <v>2607.1499999999996</v>
      </c>
      <c r="P166" s="26">
        <f>K166</f>
        <v>33930.75</v>
      </c>
      <c r="Q166" s="26">
        <f>M166</f>
        <v>16.443000000000001</v>
      </c>
      <c r="W166">
        <f>IF(Source!BI84&lt;=1,I159+I160+I162+I163+I164, 0)</f>
        <v>0</v>
      </c>
      <c r="X166">
        <f>IF(Source!BI84=2,I159+I160+I162+I163+I164, 0)</f>
        <v>2607.1499999999996</v>
      </c>
      <c r="Y166">
        <f>IF(Source!BI84=3,I159+I160+I162+I163+I164, 0)</f>
        <v>0</v>
      </c>
      <c r="Z166">
        <f>IF(Source!BI84=4,I159+I160+I162+I163+I164, 0)</f>
        <v>0</v>
      </c>
    </row>
    <row r="167" spans="1:26" ht="66.75" x14ac:dyDescent="0.2">
      <c r="A167" s="48">
        <v>24</v>
      </c>
      <c r="B167" s="48" t="str">
        <f>Source!E85</f>
        <v>17</v>
      </c>
      <c r="C167" s="49" t="s">
        <v>554</v>
      </c>
      <c r="D167" s="49" t="str">
        <f>Source!G85</f>
        <v>Присоединение к зажимам жил проводов или кабелей сечением до 240 мм2</v>
      </c>
      <c r="E167" s="31" t="str">
        <f>Source!H85</f>
        <v>100 шт.</v>
      </c>
      <c r="F167" s="10">
        <f>Source!I85</f>
        <v>0.06</v>
      </c>
      <c r="G167" s="32">
        <f>Source!AL85+Source!AM85+Source!AO85</f>
        <v>298.3</v>
      </c>
      <c r="H167" s="33"/>
      <c r="I167" s="32"/>
      <c r="J167" s="33" t="str">
        <f>Source!BO85</f>
        <v>м08-02-144-7</v>
      </c>
      <c r="K167" s="33"/>
      <c r="L167" s="32"/>
      <c r="M167" s="34"/>
      <c r="S167">
        <f>ROUND((Source!FX85/100)*((ROUND(Source!AF85*Source!I85, 2)+ROUND(Source!AE85*Source!I85, 2))), 2)</f>
        <v>22.51</v>
      </c>
      <c r="T167">
        <f>Source!X85</f>
        <v>676.25</v>
      </c>
      <c r="U167">
        <f>ROUND((Source!FY85/100)*((ROUND(Source!AF85*Source!I85, 2)+ROUND(Source!AE85*Source!I85, 2))), 2)</f>
        <v>15.4</v>
      </c>
      <c r="V167">
        <f>Source!Y85</f>
        <v>462.7</v>
      </c>
    </row>
    <row r="168" spans="1:26" ht="14.25" x14ac:dyDescent="0.2">
      <c r="A168" s="48"/>
      <c r="B168" s="48"/>
      <c r="C168" s="49"/>
      <c r="D168" s="49" t="s">
        <v>525</v>
      </c>
      <c r="E168" s="31"/>
      <c r="F168" s="10"/>
      <c r="G168" s="32">
        <f>Source!AO85</f>
        <v>292.45</v>
      </c>
      <c r="H168" s="33" t="str">
        <f>Source!DG85</f>
        <v>)*1,35</v>
      </c>
      <c r="I168" s="32">
        <f>ROUND(Source!AF85*Source!I85, 2)</f>
        <v>23.69</v>
      </c>
      <c r="J168" s="33"/>
      <c r="K168" s="33">
        <f>IF(Source!BA85&lt;&gt; 0, Source!BA85, 1)</f>
        <v>30.05</v>
      </c>
      <c r="L168" s="32">
        <f>Source!S85</f>
        <v>711.84</v>
      </c>
      <c r="M168" s="34"/>
      <c r="R168">
        <f>I168</f>
        <v>23.69</v>
      </c>
    </row>
    <row r="169" spans="1:26" ht="14.25" x14ac:dyDescent="0.2">
      <c r="A169" s="48"/>
      <c r="B169" s="48"/>
      <c r="C169" s="49"/>
      <c r="D169" s="49" t="s">
        <v>536</v>
      </c>
      <c r="E169" s="31"/>
      <c r="F169" s="10"/>
      <c r="G169" s="32">
        <f>Source!AL85</f>
        <v>5.85</v>
      </c>
      <c r="H169" s="33" t="str">
        <f>Source!DD85</f>
        <v/>
      </c>
      <c r="I169" s="32">
        <f>ROUND(Source!AC85*Source!I85, 2)</f>
        <v>0.35</v>
      </c>
      <c r="J169" s="33"/>
      <c r="K169" s="33">
        <f>IF(Source!BC85&lt;&gt; 0, Source!BC85, 1)</f>
        <v>30.04</v>
      </c>
      <c r="L169" s="32">
        <f>Source!P85</f>
        <v>10.54</v>
      </c>
      <c r="M169" s="34"/>
    </row>
    <row r="170" spans="1:26" ht="14.25" x14ac:dyDescent="0.2">
      <c r="A170" s="48"/>
      <c r="B170" s="48"/>
      <c r="C170" s="49"/>
      <c r="D170" s="49" t="s">
        <v>526</v>
      </c>
      <c r="E170" s="31" t="s">
        <v>527</v>
      </c>
      <c r="F170" s="10">
        <f>Source!BZ85</f>
        <v>95</v>
      </c>
      <c r="G170" s="53"/>
      <c r="H170" s="33"/>
      <c r="I170" s="32">
        <f>SUM(S167:S172)</f>
        <v>22.51</v>
      </c>
      <c r="J170" s="35"/>
      <c r="K170" s="30">
        <f>Source!AT85</f>
        <v>95</v>
      </c>
      <c r="L170" s="32">
        <f>SUM(T167:T172)</f>
        <v>676.25</v>
      </c>
      <c r="M170" s="34"/>
    </row>
    <row r="171" spans="1:26" ht="14.25" x14ac:dyDescent="0.2">
      <c r="A171" s="48"/>
      <c r="B171" s="48"/>
      <c r="C171" s="49"/>
      <c r="D171" s="49" t="s">
        <v>528</v>
      </c>
      <c r="E171" s="31" t="s">
        <v>527</v>
      </c>
      <c r="F171" s="10">
        <f>Source!CA85</f>
        <v>65</v>
      </c>
      <c r="G171" s="53"/>
      <c r="H171" s="33"/>
      <c r="I171" s="32">
        <f>SUM(U167:U172)</f>
        <v>15.4</v>
      </c>
      <c r="J171" s="35"/>
      <c r="K171" s="30">
        <f>Source!AU85</f>
        <v>65</v>
      </c>
      <c r="L171" s="32">
        <f>SUM(V167:V172)</f>
        <v>462.7</v>
      </c>
      <c r="M171" s="34"/>
    </row>
    <row r="172" spans="1:26" ht="14.25" x14ac:dyDescent="0.2">
      <c r="A172" s="50"/>
      <c r="B172" s="50"/>
      <c r="C172" s="51"/>
      <c r="D172" s="51" t="s">
        <v>529</v>
      </c>
      <c r="E172" s="36" t="s">
        <v>530</v>
      </c>
      <c r="F172" s="37">
        <f>Source!AQ85</f>
        <v>30.4</v>
      </c>
      <c r="G172" s="38"/>
      <c r="H172" s="39" t="str">
        <f>Source!DI85</f>
        <v>)*1,35</v>
      </c>
      <c r="I172" s="38"/>
      <c r="J172" s="39"/>
      <c r="K172" s="39"/>
      <c r="L172" s="38"/>
      <c r="M172" s="40">
        <f>Source!U85</f>
        <v>2.4623999999999997</v>
      </c>
    </row>
    <row r="173" spans="1:26" ht="15" x14ac:dyDescent="0.25">
      <c r="H173" s="81">
        <f>I168+I169+I170+I171</f>
        <v>61.95</v>
      </c>
      <c r="I173" s="81"/>
      <c r="K173" s="81">
        <f>L168+L169+L170+L171</f>
        <v>1861.3300000000002</v>
      </c>
      <c r="L173" s="81"/>
      <c r="M173" s="41">
        <f>Source!U85</f>
        <v>2.4623999999999997</v>
      </c>
      <c r="O173" s="26">
        <f>H173</f>
        <v>61.95</v>
      </c>
      <c r="P173" s="26">
        <f>K173</f>
        <v>1861.3300000000002</v>
      </c>
      <c r="Q173" s="26">
        <f>M173</f>
        <v>2.4623999999999997</v>
      </c>
      <c r="W173">
        <f>IF(Source!BI85&lt;=1,I168+I169+I170+I171, 0)</f>
        <v>0</v>
      </c>
      <c r="X173">
        <f>IF(Source!BI85=2,I168+I169+I170+I171, 0)</f>
        <v>61.95</v>
      </c>
      <c r="Y173">
        <f>IF(Source!BI85=3,I168+I169+I170+I171, 0)</f>
        <v>0</v>
      </c>
      <c r="Z173">
        <f>IF(Source!BI85=4,I168+I169+I170+I171, 0)</f>
        <v>0</v>
      </c>
    </row>
    <row r="174" spans="1:26" ht="66.75" x14ac:dyDescent="0.2">
      <c r="A174" s="48">
        <v>25</v>
      </c>
      <c r="B174" s="48" t="str">
        <f>Source!E86</f>
        <v>18</v>
      </c>
      <c r="C174" s="49" t="s">
        <v>555</v>
      </c>
      <c r="D174" s="49" t="str">
        <f>Source!G86</f>
        <v>Проводник заземляющий из медного изолированного провода сечением 25 мм2 открыто по строительным основаниям</v>
      </c>
      <c r="E174" s="31" t="str">
        <f>Source!H86</f>
        <v>100 м</v>
      </c>
      <c r="F174" s="10">
        <f>Source!I86</f>
        <v>0.02</v>
      </c>
      <c r="G174" s="32">
        <f>Source!AL86+Source!AM86+Source!AO86</f>
        <v>519.97</v>
      </c>
      <c r="H174" s="33"/>
      <c r="I174" s="32"/>
      <c r="J174" s="33" t="str">
        <f>Source!BO86</f>
        <v>м08-02-472-10</v>
      </c>
      <c r="K174" s="33"/>
      <c r="L174" s="32"/>
      <c r="M174" s="34"/>
      <c r="S174">
        <f>ROUND((Source!FX86/100)*((ROUND(Source!AF86*Source!I86, 2)+ROUND(Source!AE86*Source!I86, 2))), 2)</f>
        <v>7.76</v>
      </c>
      <c r="T174">
        <f>Source!X86</f>
        <v>233.32</v>
      </c>
      <c r="U174">
        <f>ROUND((Source!FY86/100)*((ROUND(Source!AF86*Source!I86, 2)+ROUND(Source!AE86*Source!I86, 2))), 2)</f>
        <v>5.31</v>
      </c>
      <c r="V174">
        <f>Source!Y86</f>
        <v>159.63999999999999</v>
      </c>
    </row>
    <row r="175" spans="1:26" ht="14.25" x14ac:dyDescent="0.2">
      <c r="A175" s="48"/>
      <c r="B175" s="48"/>
      <c r="C175" s="49"/>
      <c r="D175" s="49" t="s">
        <v>525</v>
      </c>
      <c r="E175" s="31"/>
      <c r="F175" s="10"/>
      <c r="G175" s="32">
        <f>Source!AO86</f>
        <v>302.3</v>
      </c>
      <c r="H175" s="33" t="str">
        <f>Source!DG86</f>
        <v>)*1,35</v>
      </c>
      <c r="I175" s="32">
        <f>ROUND(Source!AF86*Source!I86, 2)</f>
        <v>8.16</v>
      </c>
      <c r="J175" s="33"/>
      <c r="K175" s="33">
        <f>IF(Source!BA86&lt;&gt; 0, Source!BA86, 1)</f>
        <v>30.05</v>
      </c>
      <c r="L175" s="32">
        <f>Source!S86</f>
        <v>245.27</v>
      </c>
      <c r="M175" s="34"/>
      <c r="R175">
        <f>I175</f>
        <v>8.16</v>
      </c>
    </row>
    <row r="176" spans="1:26" ht="14.25" x14ac:dyDescent="0.2">
      <c r="A176" s="48"/>
      <c r="B176" s="48"/>
      <c r="C176" s="49"/>
      <c r="D176" s="49" t="s">
        <v>151</v>
      </c>
      <c r="E176" s="31"/>
      <c r="F176" s="10"/>
      <c r="G176" s="32">
        <f>Source!AM86</f>
        <v>31.61</v>
      </c>
      <c r="H176" s="33" t="str">
        <f>Source!DE86</f>
        <v>)*1,35</v>
      </c>
      <c r="I176" s="32">
        <f>ROUND(Source!AD86*Source!I86, 2)</f>
        <v>0.85</v>
      </c>
      <c r="J176" s="33"/>
      <c r="K176" s="33">
        <f>IF(Source!BB86&lt;&gt; 0, Source!BB86, 1)</f>
        <v>4.78</v>
      </c>
      <c r="L176" s="32">
        <f>Source!Q86</f>
        <v>4.08</v>
      </c>
      <c r="M176" s="34"/>
    </row>
    <row r="177" spans="1:26" ht="14.25" x14ac:dyDescent="0.2">
      <c r="A177" s="48"/>
      <c r="B177" s="48"/>
      <c r="C177" s="49"/>
      <c r="D177" s="49" t="s">
        <v>533</v>
      </c>
      <c r="E177" s="31"/>
      <c r="F177" s="10"/>
      <c r="G177" s="32">
        <f>Source!AN86</f>
        <v>0.41</v>
      </c>
      <c r="H177" s="33" t="str">
        <f>Source!DF86</f>
        <v>)*1,35</v>
      </c>
      <c r="I177" s="47">
        <f>ROUND(Source!AE86*Source!I86, 2)</f>
        <v>0.01</v>
      </c>
      <c r="J177" s="33"/>
      <c r="K177" s="33">
        <f>IF(Source!BS86&lt;&gt; 0, Source!BS86, 1)</f>
        <v>30.05</v>
      </c>
      <c r="L177" s="47">
        <f>Source!R86</f>
        <v>0.33</v>
      </c>
      <c r="M177" s="34"/>
      <c r="R177">
        <f>I177</f>
        <v>0.01</v>
      </c>
    </row>
    <row r="178" spans="1:26" ht="14.25" x14ac:dyDescent="0.2">
      <c r="A178" s="48"/>
      <c r="B178" s="48"/>
      <c r="C178" s="49"/>
      <c r="D178" s="49" t="s">
        <v>536</v>
      </c>
      <c r="E178" s="31"/>
      <c r="F178" s="10"/>
      <c r="G178" s="32">
        <f>Source!AL86</f>
        <v>186.06</v>
      </c>
      <c r="H178" s="33" t="str">
        <f>Source!DD86</f>
        <v/>
      </c>
      <c r="I178" s="32">
        <f>ROUND(Source!AC86*Source!I86, 2)</f>
        <v>3.72</v>
      </c>
      <c r="J178" s="33"/>
      <c r="K178" s="33">
        <f>IF(Source!BC86&lt;&gt; 0, Source!BC86, 1)</f>
        <v>1.82</v>
      </c>
      <c r="L178" s="32">
        <f>Source!P86</f>
        <v>6.77</v>
      </c>
      <c r="M178" s="34"/>
    </row>
    <row r="179" spans="1:26" ht="14.25" x14ac:dyDescent="0.2">
      <c r="A179" s="48"/>
      <c r="B179" s="48"/>
      <c r="C179" s="49"/>
      <c r="D179" s="49" t="s">
        <v>526</v>
      </c>
      <c r="E179" s="31" t="s">
        <v>527</v>
      </c>
      <c r="F179" s="10">
        <f>Source!BZ86</f>
        <v>95</v>
      </c>
      <c r="G179" s="53"/>
      <c r="H179" s="33"/>
      <c r="I179" s="32">
        <f>SUM(S174:S182)</f>
        <v>7.76</v>
      </c>
      <c r="J179" s="35"/>
      <c r="K179" s="30">
        <f>Source!AT86</f>
        <v>95</v>
      </c>
      <c r="L179" s="32">
        <f>SUM(T174:T182)</f>
        <v>233.32</v>
      </c>
      <c r="M179" s="34"/>
    </row>
    <row r="180" spans="1:26" ht="14.25" x14ac:dyDescent="0.2">
      <c r="A180" s="48"/>
      <c r="B180" s="48"/>
      <c r="C180" s="49"/>
      <c r="D180" s="49" t="s">
        <v>528</v>
      </c>
      <c r="E180" s="31" t="s">
        <v>527</v>
      </c>
      <c r="F180" s="10">
        <f>Source!CA86</f>
        <v>65</v>
      </c>
      <c r="G180" s="53"/>
      <c r="H180" s="33"/>
      <c r="I180" s="32">
        <f>SUM(U174:U182)</f>
        <v>5.31</v>
      </c>
      <c r="J180" s="35"/>
      <c r="K180" s="30">
        <f>Source!AU86</f>
        <v>65</v>
      </c>
      <c r="L180" s="32">
        <f>SUM(V174:V182)</f>
        <v>159.63999999999999</v>
      </c>
      <c r="M180" s="34"/>
    </row>
    <row r="181" spans="1:26" ht="14.25" x14ac:dyDescent="0.2">
      <c r="A181" s="48"/>
      <c r="B181" s="48"/>
      <c r="C181" s="49"/>
      <c r="D181" s="49" t="s">
        <v>529</v>
      </c>
      <c r="E181" s="31" t="s">
        <v>530</v>
      </c>
      <c r="F181" s="10">
        <f>Source!AQ86</f>
        <v>32.159999999999997</v>
      </c>
      <c r="G181" s="32"/>
      <c r="H181" s="33" t="str">
        <f>Source!DI86</f>
        <v>)*1,35</v>
      </c>
      <c r="I181" s="32"/>
      <c r="J181" s="33"/>
      <c r="K181" s="33"/>
      <c r="L181" s="32"/>
      <c r="M181" s="44">
        <f>Source!U86</f>
        <v>0.86831999999999998</v>
      </c>
    </row>
    <row r="182" spans="1:26" ht="85.5" x14ac:dyDescent="0.2">
      <c r="A182" s="50">
        <v>26</v>
      </c>
      <c r="B182" s="50" t="str">
        <f>Source!E87</f>
        <v>18,1</v>
      </c>
      <c r="C182" s="51" t="s">
        <v>235</v>
      </c>
      <c r="D182" s="51" t="str">
        <f>Source!G87</f>
        <v>Провод неизолированный гибкий МГ 25 мм2</v>
      </c>
      <c r="E182" s="36" t="str">
        <f>Source!H87</f>
        <v>1000 м</v>
      </c>
      <c r="F182" s="37">
        <f>Source!I87</f>
        <v>2E-3</v>
      </c>
      <c r="G182" s="38">
        <f>Source!AL87+Source!AM87+Source!AO87</f>
        <v>170083.12</v>
      </c>
      <c r="H182" s="46" t="s">
        <v>6</v>
      </c>
      <c r="I182" s="38">
        <f>ROUND(Source!AC87*Source!I87, 2)+ROUND(Source!AD87*Source!I87, 2)+ROUND(Source!AF87*Source!I87, 2)</f>
        <v>340.17</v>
      </c>
      <c r="J182" s="39"/>
      <c r="K182" s="39">
        <f>IF(Source!BC87&lt;&gt; 0, Source!BC87, 1)</f>
        <v>1</v>
      </c>
      <c r="L182" s="38">
        <f>Source!O87</f>
        <v>340.17</v>
      </c>
      <c r="M182" s="43"/>
      <c r="S182">
        <f>ROUND((Source!FX87/100)*((ROUND(Source!AF87*Source!I87, 2)+ROUND(Source!AE87*Source!I87, 2))), 2)</f>
        <v>0</v>
      </c>
      <c r="T182">
        <f>Source!X87</f>
        <v>0</v>
      </c>
      <c r="U182">
        <f>ROUND((Source!FY87/100)*((ROUND(Source!AF87*Source!I87, 2)+ROUND(Source!AE87*Source!I87, 2))), 2)</f>
        <v>0</v>
      </c>
      <c r="V182">
        <f>Source!Y87</f>
        <v>0</v>
      </c>
      <c r="W182">
        <f>IF(Source!BI87&lt;=1,I182, 0)</f>
        <v>0</v>
      </c>
      <c r="X182">
        <f>IF(Source!BI87=2,I182, 0)</f>
        <v>340.17</v>
      </c>
      <c r="Y182">
        <f>IF(Source!BI87=3,I182, 0)</f>
        <v>0</v>
      </c>
      <c r="Z182">
        <f>IF(Source!BI87=4,I182, 0)</f>
        <v>0</v>
      </c>
    </row>
    <row r="183" spans="1:26" ht="15" x14ac:dyDescent="0.25">
      <c r="H183" s="81">
        <f>I175+I176+I178+I179+I180+SUM(I182:I182)</f>
        <v>365.97</v>
      </c>
      <c r="I183" s="81"/>
      <c r="K183" s="81">
        <f>L175+L176+L178+L179+L180+SUM(L182:L182)</f>
        <v>989.25</v>
      </c>
      <c r="L183" s="81"/>
      <c r="M183" s="41">
        <f>Source!U86</f>
        <v>0.86831999999999998</v>
      </c>
      <c r="O183" s="26">
        <f>H183</f>
        <v>365.97</v>
      </c>
      <c r="P183" s="26">
        <f>K183</f>
        <v>989.25</v>
      </c>
      <c r="Q183" s="26">
        <f>M183</f>
        <v>0.86831999999999998</v>
      </c>
      <c r="W183">
        <f>IF(Source!BI86&lt;=1,I175+I176+I178+I179+I180, 0)</f>
        <v>0</v>
      </c>
      <c r="X183">
        <f>IF(Source!BI86=2,I175+I176+I178+I179+I180, 0)</f>
        <v>25.8</v>
      </c>
      <c r="Y183">
        <f>IF(Source!BI86=3,I175+I176+I178+I179+I180, 0)</f>
        <v>0</v>
      </c>
      <c r="Z183">
        <f>IF(Source!BI86=4,I175+I176+I178+I179+I180, 0)</f>
        <v>0</v>
      </c>
    </row>
    <row r="184" spans="1:26" ht="105" x14ac:dyDescent="0.2">
      <c r="A184" s="48">
        <v>27</v>
      </c>
      <c r="B184" s="48" t="str">
        <f>Source!E88</f>
        <v>19</v>
      </c>
      <c r="C184" s="49" t="s">
        <v>556</v>
      </c>
      <c r="D184" s="49" t="str">
        <f>Source!G88</f>
        <v>Муфта соединительная эпоксидная для 3-4-жильного кабеля напряжением до 10 кВ, сечение жил до 120 мм2</v>
      </c>
      <c r="E184" s="31" t="str">
        <f>Source!H88</f>
        <v>1  ШТ.</v>
      </c>
      <c r="F184" s="10">
        <f>Source!I88</f>
        <v>3</v>
      </c>
      <c r="G184" s="32">
        <f>Source!AL88+Source!AM88+Source!AO88</f>
        <v>125.41</v>
      </c>
      <c r="H184" s="33"/>
      <c r="I184" s="32"/>
      <c r="J184" s="33" t="str">
        <f>Source!BO88</f>
        <v>м08-02-167-8</v>
      </c>
      <c r="K184" s="33"/>
      <c r="L184" s="32"/>
      <c r="M184" s="34"/>
      <c r="S184">
        <f>ROUND((Source!FX88/100)*((ROUND(Source!AF88*Source!I88, 2)+ROUND(Source!AE88*Source!I88, 2))), 2)</f>
        <v>297.91000000000003</v>
      </c>
      <c r="T184">
        <f>Source!X88</f>
        <v>8952.2099999999991</v>
      </c>
      <c r="U184">
        <f>ROUND((Source!FY88/100)*((ROUND(Source!AF88*Source!I88, 2)+ROUND(Source!AE88*Source!I88, 2))), 2)</f>
        <v>203.83</v>
      </c>
      <c r="V184">
        <f>Source!Y88</f>
        <v>6125.2</v>
      </c>
    </row>
    <row r="185" spans="1:26" ht="14.25" x14ac:dyDescent="0.2">
      <c r="A185" s="48"/>
      <c r="B185" s="48"/>
      <c r="C185" s="49"/>
      <c r="D185" s="49" t="s">
        <v>525</v>
      </c>
      <c r="E185" s="31"/>
      <c r="F185" s="10"/>
      <c r="G185" s="32">
        <f>Source!AO88</f>
        <v>75.61</v>
      </c>
      <c r="H185" s="33" t="str">
        <f>Source!DG88</f>
        <v>)*1,2)*1,15</v>
      </c>
      <c r="I185" s="32">
        <f>ROUND(Source!AF88*Source!I88, 2)</f>
        <v>313.02</v>
      </c>
      <c r="J185" s="33"/>
      <c r="K185" s="33">
        <f>IF(Source!BA88&lt;&gt; 0, Source!BA88, 1)</f>
        <v>30.05</v>
      </c>
      <c r="L185" s="32">
        <f>Source!S88</f>
        <v>9406.25</v>
      </c>
      <c r="M185" s="34"/>
      <c r="R185">
        <f>I185</f>
        <v>313.02</v>
      </c>
    </row>
    <row r="186" spans="1:26" ht="14.25" x14ac:dyDescent="0.2">
      <c r="A186" s="48"/>
      <c r="B186" s="48"/>
      <c r="C186" s="49"/>
      <c r="D186" s="49" t="s">
        <v>151</v>
      </c>
      <c r="E186" s="31"/>
      <c r="F186" s="10"/>
      <c r="G186" s="32">
        <f>Source!AM88</f>
        <v>2.2200000000000002</v>
      </c>
      <c r="H186" s="33" t="str">
        <f>Source!DE88</f>
        <v>)*1,2)*1,15</v>
      </c>
      <c r="I186" s="32">
        <f>ROUND(Source!AD88*Source!I88, 2)</f>
        <v>9.18</v>
      </c>
      <c r="J186" s="33"/>
      <c r="K186" s="33">
        <f>IF(Source!BB88&lt;&gt; 0, Source!BB88, 1)</f>
        <v>8.77</v>
      </c>
      <c r="L186" s="32">
        <f>Source!Q88</f>
        <v>80.510000000000005</v>
      </c>
      <c r="M186" s="34"/>
    </row>
    <row r="187" spans="1:26" ht="14.25" x14ac:dyDescent="0.2">
      <c r="A187" s="48"/>
      <c r="B187" s="48"/>
      <c r="C187" s="49"/>
      <c r="D187" s="49" t="s">
        <v>533</v>
      </c>
      <c r="E187" s="31"/>
      <c r="F187" s="10"/>
      <c r="G187" s="32">
        <f>Source!AN88</f>
        <v>0.14000000000000001</v>
      </c>
      <c r="H187" s="33" t="str">
        <f>Source!DF88</f>
        <v>)*1,2)*1,15</v>
      </c>
      <c r="I187" s="47">
        <f>ROUND(Source!AE88*Source!I88, 2)</f>
        <v>0.56999999999999995</v>
      </c>
      <c r="J187" s="33"/>
      <c r="K187" s="33">
        <f>IF(Source!BS88&lt;&gt; 0, Source!BS88, 1)</f>
        <v>30.05</v>
      </c>
      <c r="L187" s="47">
        <f>Source!R88</f>
        <v>17.13</v>
      </c>
      <c r="M187" s="34"/>
      <c r="R187">
        <f>I187</f>
        <v>0.56999999999999995</v>
      </c>
    </row>
    <row r="188" spans="1:26" ht="14.25" x14ac:dyDescent="0.2">
      <c r="A188" s="48"/>
      <c r="B188" s="48"/>
      <c r="C188" s="49"/>
      <c r="D188" s="49" t="s">
        <v>536</v>
      </c>
      <c r="E188" s="31"/>
      <c r="F188" s="10"/>
      <c r="G188" s="32">
        <f>Source!AL88</f>
        <v>47.58</v>
      </c>
      <c r="H188" s="33" t="str">
        <f>Source!DD88</f>
        <v/>
      </c>
      <c r="I188" s="32">
        <f>ROUND(Source!AC88*Source!I88, 2)</f>
        <v>142.74</v>
      </c>
      <c r="J188" s="33"/>
      <c r="K188" s="33">
        <f>IF(Source!BC88&lt;&gt; 0, Source!BC88, 1)</f>
        <v>6.53</v>
      </c>
      <c r="L188" s="32">
        <f>Source!P88</f>
        <v>932.09</v>
      </c>
      <c r="M188" s="34"/>
    </row>
    <row r="189" spans="1:26" ht="14.25" x14ac:dyDescent="0.2">
      <c r="A189" s="48"/>
      <c r="B189" s="48"/>
      <c r="C189" s="49"/>
      <c r="D189" s="49" t="s">
        <v>526</v>
      </c>
      <c r="E189" s="31" t="s">
        <v>527</v>
      </c>
      <c r="F189" s="10">
        <f>Source!BZ88</f>
        <v>95</v>
      </c>
      <c r="G189" s="53"/>
      <c r="H189" s="33"/>
      <c r="I189" s="32">
        <f>SUM(S184:S192)</f>
        <v>297.91000000000003</v>
      </c>
      <c r="J189" s="35"/>
      <c r="K189" s="30">
        <f>Source!AT88</f>
        <v>95</v>
      </c>
      <c r="L189" s="32">
        <f>SUM(T184:T192)</f>
        <v>8952.2099999999991</v>
      </c>
      <c r="M189" s="34"/>
    </row>
    <row r="190" spans="1:26" ht="14.25" x14ac:dyDescent="0.2">
      <c r="A190" s="48"/>
      <c r="B190" s="48"/>
      <c r="C190" s="49"/>
      <c r="D190" s="49" t="s">
        <v>528</v>
      </c>
      <c r="E190" s="31" t="s">
        <v>527</v>
      </c>
      <c r="F190" s="10">
        <f>Source!CA88</f>
        <v>65</v>
      </c>
      <c r="G190" s="53"/>
      <c r="H190" s="33"/>
      <c r="I190" s="32">
        <f>SUM(U184:U192)</f>
        <v>203.83</v>
      </c>
      <c r="J190" s="35"/>
      <c r="K190" s="30">
        <f>Source!AU88</f>
        <v>65</v>
      </c>
      <c r="L190" s="32">
        <f>SUM(V184:V192)</f>
        <v>6125.2</v>
      </c>
      <c r="M190" s="34"/>
    </row>
    <row r="191" spans="1:26" ht="14.25" x14ac:dyDescent="0.2">
      <c r="A191" s="48"/>
      <c r="B191" s="48"/>
      <c r="C191" s="49"/>
      <c r="D191" s="49" t="s">
        <v>529</v>
      </c>
      <c r="E191" s="31" t="s">
        <v>530</v>
      </c>
      <c r="F191" s="10">
        <f>Source!AQ88</f>
        <v>7.86</v>
      </c>
      <c r="G191" s="32"/>
      <c r="H191" s="33" t="str">
        <f>Source!DI88</f>
        <v>)*1,2)*1,15</v>
      </c>
      <c r="I191" s="32"/>
      <c r="J191" s="33"/>
      <c r="K191" s="33"/>
      <c r="L191" s="32"/>
      <c r="M191" s="44">
        <f>Source!U88</f>
        <v>32.540399999999998</v>
      </c>
    </row>
    <row r="192" spans="1:26" ht="28.5" x14ac:dyDescent="0.2">
      <c r="A192" s="50">
        <v>28</v>
      </c>
      <c r="B192" s="50" t="str">
        <f>Source!E89</f>
        <v>19,1</v>
      </c>
      <c r="C192" s="51" t="s">
        <v>557</v>
      </c>
      <c r="D192" s="51" t="str">
        <f>Source!G89</f>
        <v>Гильза кабельная медная ГМ 120</v>
      </c>
      <c r="E192" s="36" t="str">
        <f>Source!H89</f>
        <v>100 шт.</v>
      </c>
      <c r="F192" s="37">
        <f>Source!I89</f>
        <v>-9.2999999999999999E-2</v>
      </c>
      <c r="G192" s="38">
        <f>Source!AL89+Source!AM89+Source!AO89</f>
        <v>1356</v>
      </c>
      <c r="H192" s="46" t="s">
        <v>6</v>
      </c>
      <c r="I192" s="38">
        <f>ROUND(Source!AC89*Source!I89, 2)+ROUND(Source!AD89*Source!I89, 2)+ROUND(Source!AF89*Source!I89, 2)</f>
        <v>-126.11</v>
      </c>
      <c r="J192" s="39"/>
      <c r="K192" s="39">
        <f>IF(Source!BC89&lt;&gt; 0, Source!BC89, 1)</f>
        <v>4.88</v>
      </c>
      <c r="L192" s="38">
        <f>Source!O89</f>
        <v>-615.41</v>
      </c>
      <c r="M192" s="43"/>
      <c r="S192">
        <f>ROUND((Source!FX89/100)*((ROUND(Source!AF89*Source!I89, 2)+ROUND(Source!AE89*Source!I89, 2))), 2)</f>
        <v>0</v>
      </c>
      <c r="T192">
        <f>Source!X89</f>
        <v>0</v>
      </c>
      <c r="U192">
        <f>ROUND((Source!FY89/100)*((ROUND(Source!AF89*Source!I89, 2)+ROUND(Source!AE89*Source!I89, 2))), 2)</f>
        <v>0</v>
      </c>
      <c r="V192">
        <f>Source!Y89</f>
        <v>0</v>
      </c>
      <c r="W192">
        <f>IF(Source!BI89&lt;=1,I192, 0)</f>
        <v>0</v>
      </c>
      <c r="X192">
        <f>IF(Source!BI89=2,I192, 0)</f>
        <v>-126.11</v>
      </c>
      <c r="Y192">
        <f>IF(Source!BI89=3,I192, 0)</f>
        <v>0</v>
      </c>
      <c r="Z192">
        <f>IF(Source!BI89=4,I192, 0)</f>
        <v>0</v>
      </c>
    </row>
    <row r="193" spans="1:26" ht="15" x14ac:dyDescent="0.25">
      <c r="H193" s="81">
        <f>I185+I186+I188+I189+I190+SUM(I192:I192)</f>
        <v>840.57</v>
      </c>
      <c r="I193" s="81"/>
      <c r="K193" s="81">
        <f>L185+L186+L188+L189+L190+SUM(L192:L192)</f>
        <v>24880.85</v>
      </c>
      <c r="L193" s="81"/>
      <c r="M193" s="41">
        <f>Source!U88</f>
        <v>32.540399999999998</v>
      </c>
      <c r="O193" s="26">
        <f>H193</f>
        <v>840.57</v>
      </c>
      <c r="P193" s="26">
        <f>K193</f>
        <v>24880.85</v>
      </c>
      <c r="Q193" s="26">
        <f>M193</f>
        <v>32.540399999999998</v>
      </c>
      <c r="W193">
        <f>IF(Source!BI88&lt;=1,I185+I186+I188+I189+I190, 0)</f>
        <v>0</v>
      </c>
      <c r="X193">
        <f>IF(Source!BI88=2,I185+I186+I188+I189+I190, 0)</f>
        <v>966.68000000000006</v>
      </c>
      <c r="Y193">
        <f>IF(Source!BI88=3,I185+I186+I188+I189+I190, 0)</f>
        <v>0</v>
      </c>
      <c r="Z193">
        <f>IF(Source!BI88=4,I185+I186+I188+I189+I190, 0)</f>
        <v>0</v>
      </c>
    </row>
    <row r="194" spans="1:26" ht="105" x14ac:dyDescent="0.2">
      <c r="A194" s="48">
        <v>29</v>
      </c>
      <c r="B194" s="48" t="str">
        <f>Source!E90</f>
        <v>20</v>
      </c>
      <c r="C194" s="49" t="s">
        <v>558</v>
      </c>
      <c r="D194" s="49" t="str">
        <f>Source!G90</f>
        <v>Покрытие кабеля плитами из полимернаполненных материалов, расположенными вдоль кабельной линии, размером 48х24</v>
      </c>
      <c r="E194" s="31" t="str">
        <f>Source!H90</f>
        <v>100 м кабельной линии</v>
      </c>
      <c r="F194" s="10">
        <f>Source!I90</f>
        <v>9.58</v>
      </c>
      <c r="G194" s="32">
        <f>Source!AL90+Source!AM90+Source!AO90</f>
        <v>1478.89</v>
      </c>
      <c r="H194" s="33"/>
      <c r="I194" s="32"/>
      <c r="J194" s="33" t="str">
        <f>Source!BO90</f>
        <v>м08-02-143-100</v>
      </c>
      <c r="K194" s="33"/>
      <c r="L194" s="32"/>
      <c r="M194" s="34"/>
      <c r="S194">
        <f>ROUND((Source!FX90/100)*((ROUND(Source!AF90*Source!I90, 2)+ROUND(Source!AE90*Source!I90, 2))), 2)</f>
        <v>370.6</v>
      </c>
      <c r="T194">
        <f>Source!X90</f>
        <v>11136.31</v>
      </c>
      <c r="U194">
        <f>ROUND((Source!FY90/100)*((ROUND(Source!AF90*Source!I90, 2)+ROUND(Source!AE90*Source!I90, 2))), 2)</f>
        <v>253.57</v>
      </c>
      <c r="V194">
        <f>Source!Y90</f>
        <v>7619.58</v>
      </c>
    </row>
    <row r="195" spans="1:26" ht="14.25" x14ac:dyDescent="0.2">
      <c r="A195" s="48"/>
      <c r="B195" s="48"/>
      <c r="C195" s="49"/>
      <c r="D195" s="49" t="s">
        <v>525</v>
      </c>
      <c r="E195" s="31"/>
      <c r="F195" s="10"/>
      <c r="G195" s="32">
        <f>Source!AO90</f>
        <v>29.51</v>
      </c>
      <c r="H195" s="33" t="str">
        <f>Source!DG90</f>
        <v>)*1,2)*1,15</v>
      </c>
      <c r="I195" s="32">
        <f>ROUND(Source!AF90*Source!I90, 2)</f>
        <v>390.1</v>
      </c>
      <c r="J195" s="33"/>
      <c r="K195" s="33">
        <f>IF(Source!BA90&lt;&gt; 0, Source!BA90, 1)</f>
        <v>30.05</v>
      </c>
      <c r="L195" s="32">
        <f>Source!S90</f>
        <v>11722.43</v>
      </c>
      <c r="M195" s="34"/>
      <c r="R195">
        <f>I195</f>
        <v>390.1</v>
      </c>
    </row>
    <row r="196" spans="1:26" ht="14.25" x14ac:dyDescent="0.2">
      <c r="A196" s="48"/>
      <c r="B196" s="48"/>
      <c r="C196" s="49"/>
      <c r="D196" s="49" t="s">
        <v>151</v>
      </c>
      <c r="E196" s="31"/>
      <c r="F196" s="10"/>
      <c r="G196" s="32">
        <f>Source!AM90</f>
        <v>7.38</v>
      </c>
      <c r="H196" s="33" t="str">
        <f>Source!DE90</f>
        <v>)*1,2)*1,15</v>
      </c>
      <c r="I196" s="32">
        <f>ROUND(Source!AD90*Source!I90, 2)</f>
        <v>97.52</v>
      </c>
      <c r="J196" s="33"/>
      <c r="K196" s="33">
        <f>IF(Source!BB90&lt;&gt; 0, Source!BB90, 1)</f>
        <v>9.39</v>
      </c>
      <c r="L196" s="32">
        <f>Source!Q90</f>
        <v>915.75</v>
      </c>
      <c r="M196" s="34"/>
    </row>
    <row r="197" spans="1:26" ht="14.25" x14ac:dyDescent="0.2">
      <c r="A197" s="48"/>
      <c r="B197" s="48"/>
      <c r="C197" s="49"/>
      <c r="D197" s="49" t="s">
        <v>536</v>
      </c>
      <c r="E197" s="31"/>
      <c r="F197" s="10"/>
      <c r="G197" s="32">
        <f>Source!AL90</f>
        <v>1442</v>
      </c>
      <c r="H197" s="33" t="str">
        <f>Source!DD90</f>
        <v/>
      </c>
      <c r="I197" s="32">
        <f>ROUND(Source!AC90*Source!I90, 2)</f>
        <v>13814.36</v>
      </c>
      <c r="J197" s="33"/>
      <c r="K197" s="33">
        <f>IF(Source!BC90&lt;&gt; 0, Source!BC90, 1)</f>
        <v>6.72</v>
      </c>
      <c r="L197" s="32">
        <f>Source!P90</f>
        <v>92832.5</v>
      </c>
      <c r="M197" s="34"/>
    </row>
    <row r="198" spans="1:26" ht="14.25" x14ac:dyDescent="0.2">
      <c r="A198" s="48"/>
      <c r="B198" s="48"/>
      <c r="C198" s="49"/>
      <c r="D198" s="49" t="s">
        <v>526</v>
      </c>
      <c r="E198" s="31" t="s">
        <v>527</v>
      </c>
      <c r="F198" s="10">
        <f>Source!BZ90</f>
        <v>95</v>
      </c>
      <c r="G198" s="53"/>
      <c r="H198" s="33"/>
      <c r="I198" s="32">
        <f>SUM(S194:S200)</f>
        <v>370.6</v>
      </c>
      <c r="J198" s="35"/>
      <c r="K198" s="30">
        <f>Source!AT90</f>
        <v>95</v>
      </c>
      <c r="L198" s="32">
        <f>SUM(T194:T200)</f>
        <v>11136.31</v>
      </c>
      <c r="M198" s="34"/>
    </row>
    <row r="199" spans="1:26" ht="14.25" x14ac:dyDescent="0.2">
      <c r="A199" s="48"/>
      <c r="B199" s="48"/>
      <c r="C199" s="49"/>
      <c r="D199" s="49" t="s">
        <v>528</v>
      </c>
      <c r="E199" s="31" t="s">
        <v>527</v>
      </c>
      <c r="F199" s="10">
        <f>Source!CA90</f>
        <v>65</v>
      </c>
      <c r="G199" s="53"/>
      <c r="H199" s="33"/>
      <c r="I199" s="32">
        <f>SUM(U194:U200)</f>
        <v>253.57</v>
      </c>
      <c r="J199" s="35"/>
      <c r="K199" s="30">
        <f>Source!AU90</f>
        <v>65</v>
      </c>
      <c r="L199" s="32">
        <f>SUM(V194:V200)</f>
        <v>7619.58</v>
      </c>
      <c r="M199" s="34"/>
    </row>
    <row r="200" spans="1:26" ht="14.25" x14ac:dyDescent="0.2">
      <c r="A200" s="50"/>
      <c r="B200" s="50"/>
      <c r="C200" s="51"/>
      <c r="D200" s="51" t="s">
        <v>529</v>
      </c>
      <c r="E200" s="36" t="s">
        <v>530</v>
      </c>
      <c r="F200" s="37">
        <f>Source!AQ90</f>
        <v>3.68</v>
      </c>
      <c r="G200" s="38"/>
      <c r="H200" s="39" t="str">
        <f>Source!DI90</f>
        <v>)*1,2)*1,15</v>
      </c>
      <c r="I200" s="38"/>
      <c r="J200" s="39"/>
      <c r="K200" s="39"/>
      <c r="L200" s="38"/>
      <c r="M200" s="40">
        <f>Source!U90</f>
        <v>48.651071999999999</v>
      </c>
    </row>
    <row r="201" spans="1:26" ht="15" x14ac:dyDescent="0.25">
      <c r="H201" s="81">
        <f>I195+I196+I197+I198+I199</f>
        <v>14926.150000000001</v>
      </c>
      <c r="I201" s="81"/>
      <c r="K201" s="81">
        <f>L195+L196+L197+L198+L199</f>
        <v>124226.56999999999</v>
      </c>
      <c r="L201" s="81"/>
      <c r="M201" s="41">
        <f>Source!U90</f>
        <v>48.651071999999999</v>
      </c>
      <c r="O201" s="26">
        <f>H201</f>
        <v>14926.150000000001</v>
      </c>
      <c r="P201" s="26">
        <f>K201</f>
        <v>124226.56999999999</v>
      </c>
      <c r="Q201" s="26">
        <f>M201</f>
        <v>48.651071999999999</v>
      </c>
      <c r="W201">
        <f>IF(Source!BI90&lt;=1,I195+I196+I197+I198+I199, 0)</f>
        <v>0</v>
      </c>
      <c r="X201">
        <f>IF(Source!BI90=2,I195+I196+I197+I198+I199, 0)</f>
        <v>14926.150000000001</v>
      </c>
      <c r="Y201">
        <f>IF(Source!BI90=3,I195+I196+I197+I198+I199, 0)</f>
        <v>0</v>
      </c>
      <c r="Z201">
        <f>IF(Source!BI90=4,I195+I196+I197+I198+I199, 0)</f>
        <v>0</v>
      </c>
    </row>
    <row r="203" spans="1:26" ht="15" x14ac:dyDescent="0.25">
      <c r="A203" s="84" t="str">
        <f>CONCATENATE("Итого по разделу: ",IF(Source!G92&lt;&gt;"Новый раздел", Source!G92, ""))</f>
        <v>Итого по разделу: Электромонтажные работы</v>
      </c>
      <c r="B203" s="84"/>
      <c r="C203" s="84"/>
      <c r="D203" s="84"/>
      <c r="E203" s="84"/>
      <c r="F203" s="84"/>
      <c r="G203" s="84"/>
      <c r="H203" s="83">
        <f>SUM(O112:O202)</f>
        <v>44990.930000000008</v>
      </c>
      <c r="I203" s="83"/>
      <c r="J203" s="29"/>
      <c r="K203" s="83">
        <f>SUM(P112:P202)</f>
        <v>622350.65</v>
      </c>
      <c r="L203" s="83"/>
      <c r="M203" s="41">
        <f>SUM(Q112:Q202)</f>
        <v>445.50586799999991</v>
      </c>
    </row>
    <row r="207" spans="1:26" ht="16.5" x14ac:dyDescent="0.25">
      <c r="A207" s="82" t="str">
        <f>CONCATENATE("Раздел: ",IF(Source!G121&lt;&gt;"Новый раздел", Source!G121, ""))</f>
        <v>Раздел: Пусконаладочные работы</v>
      </c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</row>
    <row r="208" spans="1:26" ht="66.75" x14ac:dyDescent="0.2">
      <c r="A208" s="48">
        <v>30</v>
      </c>
      <c r="B208" s="48" t="str">
        <f>Source!E125</f>
        <v>21</v>
      </c>
      <c r="C208" s="49" t="s">
        <v>559</v>
      </c>
      <c r="D208" s="49" t="str">
        <f>Source!G125</f>
        <v>Испытание кабеля силового длиной до 500 м напряжением до 10 кВ</v>
      </c>
      <c r="E208" s="31" t="str">
        <f>Source!H125</f>
        <v>1 испытание</v>
      </c>
      <c r="F208" s="10">
        <f>Source!I125</f>
        <v>3</v>
      </c>
      <c r="G208" s="32">
        <f>Source!AL125+Source!AM125+Source!AO125</f>
        <v>55.72</v>
      </c>
      <c r="H208" s="33"/>
      <c r="I208" s="32"/>
      <c r="J208" s="33" t="str">
        <f>Source!BO125</f>
        <v/>
      </c>
      <c r="K208" s="33"/>
      <c r="L208" s="32"/>
      <c r="M208" s="34"/>
      <c r="S208">
        <f>ROUND((Source!FX125/100)*((ROUND(Source!AF125*Source!I125, 2)+ROUND(Source!AE125*Source!I125, 2))), 2)</f>
        <v>141.26</v>
      </c>
      <c r="T208">
        <f>Source!X125</f>
        <v>4244.8100000000004</v>
      </c>
      <c r="U208">
        <f>ROUND((Source!FY125/100)*((ROUND(Source!AF125*Source!I125, 2)+ROUND(Source!AE125*Source!I125, 2))), 2)</f>
        <v>86.93</v>
      </c>
      <c r="V208">
        <f>Source!Y125</f>
        <v>2612.19</v>
      </c>
    </row>
    <row r="209" spans="1:26" ht="14.25" x14ac:dyDescent="0.2">
      <c r="A209" s="48"/>
      <c r="B209" s="48"/>
      <c r="C209" s="49"/>
      <c r="D209" s="49" t="s">
        <v>525</v>
      </c>
      <c r="E209" s="31"/>
      <c r="F209" s="10"/>
      <c r="G209" s="32">
        <f>Source!AO125</f>
        <v>55.72</v>
      </c>
      <c r="H209" s="33" t="str">
        <f>Source!DG125</f>
        <v>)*1,3</v>
      </c>
      <c r="I209" s="32">
        <f>ROUND(Source!AF125*Source!I125, 2)</f>
        <v>217.32</v>
      </c>
      <c r="J209" s="33"/>
      <c r="K209" s="33">
        <f>IF(Source!BA125&lt;&gt; 0, Source!BA125, 1)</f>
        <v>30.05</v>
      </c>
      <c r="L209" s="32">
        <f>Source!S125</f>
        <v>6530.47</v>
      </c>
      <c r="M209" s="34"/>
      <c r="R209">
        <f>I209</f>
        <v>217.32</v>
      </c>
    </row>
    <row r="210" spans="1:26" ht="14.25" x14ac:dyDescent="0.2">
      <c r="A210" s="48"/>
      <c r="B210" s="48"/>
      <c r="C210" s="49"/>
      <c r="D210" s="49" t="s">
        <v>526</v>
      </c>
      <c r="E210" s="31" t="s">
        <v>527</v>
      </c>
      <c r="F210" s="10">
        <f>Source!BZ125</f>
        <v>65</v>
      </c>
      <c r="G210" s="53"/>
      <c r="H210" s="33"/>
      <c r="I210" s="32">
        <f>SUM(S208:S212)</f>
        <v>141.26</v>
      </c>
      <c r="J210" s="35"/>
      <c r="K210" s="30">
        <f>Source!AT125</f>
        <v>65</v>
      </c>
      <c r="L210" s="32">
        <f>SUM(T208:T212)</f>
        <v>4244.8100000000004</v>
      </c>
      <c r="M210" s="34"/>
    </row>
    <row r="211" spans="1:26" ht="14.25" x14ac:dyDescent="0.2">
      <c r="A211" s="48"/>
      <c r="B211" s="48"/>
      <c r="C211" s="49"/>
      <c r="D211" s="49" t="s">
        <v>528</v>
      </c>
      <c r="E211" s="31" t="s">
        <v>527</v>
      </c>
      <c r="F211" s="10">
        <f>Source!CA125</f>
        <v>40</v>
      </c>
      <c r="G211" s="53"/>
      <c r="H211" s="33"/>
      <c r="I211" s="32">
        <f>SUM(U208:U212)</f>
        <v>86.93</v>
      </c>
      <c r="J211" s="35"/>
      <c r="K211" s="30">
        <f>Source!AU125</f>
        <v>40</v>
      </c>
      <c r="L211" s="32">
        <f>SUM(V208:V212)</f>
        <v>2612.19</v>
      </c>
      <c r="M211" s="34"/>
    </row>
    <row r="212" spans="1:26" ht="14.25" x14ac:dyDescent="0.2">
      <c r="A212" s="50"/>
      <c r="B212" s="50"/>
      <c r="C212" s="51"/>
      <c r="D212" s="51" t="s">
        <v>529</v>
      </c>
      <c r="E212" s="36" t="s">
        <v>530</v>
      </c>
      <c r="F212" s="37">
        <f>Source!AQ125</f>
        <v>4.8600000000000003</v>
      </c>
      <c r="G212" s="38"/>
      <c r="H212" s="39" t="str">
        <f>Source!DI125</f>
        <v>)*1,3</v>
      </c>
      <c r="I212" s="38"/>
      <c r="J212" s="39"/>
      <c r="K212" s="39"/>
      <c r="L212" s="38"/>
      <c r="M212" s="40">
        <f>Source!U125</f>
        <v>18.954000000000001</v>
      </c>
    </row>
    <row r="213" spans="1:26" ht="15" x14ac:dyDescent="0.25">
      <c r="H213" s="81">
        <f>I209+I210+I211</f>
        <v>445.51</v>
      </c>
      <c r="I213" s="81"/>
      <c r="K213" s="81">
        <f>L209+L210+L211</f>
        <v>13387.470000000001</v>
      </c>
      <c r="L213" s="81"/>
      <c r="M213" s="41">
        <f>Source!U125</f>
        <v>18.954000000000001</v>
      </c>
      <c r="O213" s="26">
        <f>H213</f>
        <v>445.51</v>
      </c>
      <c r="P213" s="26">
        <f>K213</f>
        <v>13387.470000000001</v>
      </c>
      <c r="Q213" s="26">
        <f>M213</f>
        <v>18.954000000000001</v>
      </c>
      <c r="W213">
        <f>IF(Source!BI125&lt;=1,I209+I210+I211, 0)</f>
        <v>0</v>
      </c>
      <c r="X213">
        <f>IF(Source!BI125=2,I209+I210+I211, 0)</f>
        <v>0</v>
      </c>
      <c r="Y213">
        <f>IF(Source!BI125=3,I209+I210+I211, 0)</f>
        <v>0</v>
      </c>
      <c r="Z213">
        <f>IF(Source!BI125=4,I209+I210+I211, 0)</f>
        <v>445.51</v>
      </c>
    </row>
    <row r="214" spans="1:26" ht="66.75" x14ac:dyDescent="0.2">
      <c r="A214" s="48">
        <v>31</v>
      </c>
      <c r="B214" s="48" t="str">
        <f>Source!E126</f>
        <v>22</v>
      </c>
      <c r="C214" s="49" t="s">
        <v>560</v>
      </c>
      <c r="D214" s="49" t="str">
        <f>Source!G126</f>
        <v>Фазировка электрической линии или трансформатора с сетью напряжением свыше 1 кВ</v>
      </c>
      <c r="E214" s="31" t="str">
        <f>Source!H126</f>
        <v>1 фазировка</v>
      </c>
      <c r="F214" s="10">
        <f>Source!I126</f>
        <v>3</v>
      </c>
      <c r="G214" s="32">
        <f>Source!AL126+Source!AM126+Source!AO126</f>
        <v>20.74</v>
      </c>
      <c r="H214" s="33"/>
      <c r="I214" s="32"/>
      <c r="J214" s="33" t="str">
        <f>Source!BO126</f>
        <v/>
      </c>
      <c r="K214" s="33"/>
      <c r="L214" s="32"/>
      <c r="M214" s="34"/>
      <c r="S214">
        <f>ROUND((Source!FX126/100)*((ROUND(Source!AF126*Source!I126, 2)+ROUND(Source!AE126*Source!I126, 2))), 2)</f>
        <v>52.57</v>
      </c>
      <c r="T214">
        <f>Source!X126</f>
        <v>1579.79</v>
      </c>
      <c r="U214">
        <f>ROUND((Source!FY126/100)*((ROUND(Source!AF126*Source!I126, 2)+ROUND(Source!AE126*Source!I126, 2))), 2)</f>
        <v>32.35</v>
      </c>
      <c r="V214">
        <f>Source!Y126</f>
        <v>972.18</v>
      </c>
    </row>
    <row r="215" spans="1:26" ht="14.25" x14ac:dyDescent="0.2">
      <c r="A215" s="48"/>
      <c r="B215" s="48"/>
      <c r="C215" s="49"/>
      <c r="D215" s="49" t="s">
        <v>525</v>
      </c>
      <c r="E215" s="31"/>
      <c r="F215" s="10"/>
      <c r="G215" s="32">
        <f>Source!AO126</f>
        <v>20.74</v>
      </c>
      <c r="H215" s="33" t="str">
        <f>Source!DG126</f>
        <v>)*1,3</v>
      </c>
      <c r="I215" s="32">
        <f>ROUND(Source!AF126*Source!I126, 2)</f>
        <v>80.88</v>
      </c>
      <c r="J215" s="33"/>
      <c r="K215" s="33">
        <f>IF(Source!BA126&lt;&gt; 0, Source!BA126, 1)</f>
        <v>30.05</v>
      </c>
      <c r="L215" s="32">
        <f>Source!S126</f>
        <v>2430.44</v>
      </c>
      <c r="M215" s="34"/>
      <c r="R215">
        <f>I215</f>
        <v>80.88</v>
      </c>
    </row>
    <row r="216" spans="1:26" ht="14.25" x14ac:dyDescent="0.2">
      <c r="A216" s="48"/>
      <c r="B216" s="48"/>
      <c r="C216" s="49"/>
      <c r="D216" s="49" t="s">
        <v>526</v>
      </c>
      <c r="E216" s="31" t="s">
        <v>527</v>
      </c>
      <c r="F216" s="10">
        <f>Source!BZ126</f>
        <v>65</v>
      </c>
      <c r="G216" s="53"/>
      <c r="H216" s="33"/>
      <c r="I216" s="32">
        <f>SUM(S214:S218)</f>
        <v>52.57</v>
      </c>
      <c r="J216" s="35"/>
      <c r="K216" s="30">
        <f>Source!AT126</f>
        <v>65</v>
      </c>
      <c r="L216" s="32">
        <f>SUM(T214:T218)</f>
        <v>1579.79</v>
      </c>
      <c r="M216" s="34"/>
    </row>
    <row r="217" spans="1:26" ht="14.25" x14ac:dyDescent="0.2">
      <c r="A217" s="48"/>
      <c r="B217" s="48"/>
      <c r="C217" s="49"/>
      <c r="D217" s="49" t="s">
        <v>528</v>
      </c>
      <c r="E217" s="31" t="s">
        <v>527</v>
      </c>
      <c r="F217" s="10">
        <f>Source!CA126</f>
        <v>40</v>
      </c>
      <c r="G217" s="53"/>
      <c r="H217" s="33"/>
      <c r="I217" s="32">
        <f>SUM(U214:U218)</f>
        <v>32.35</v>
      </c>
      <c r="J217" s="35"/>
      <c r="K217" s="30">
        <f>Source!AU126</f>
        <v>40</v>
      </c>
      <c r="L217" s="32">
        <f>SUM(V214:V218)</f>
        <v>972.18</v>
      </c>
      <c r="M217" s="34"/>
    </row>
    <row r="218" spans="1:26" ht="14.25" x14ac:dyDescent="0.2">
      <c r="A218" s="50"/>
      <c r="B218" s="50"/>
      <c r="C218" s="51"/>
      <c r="D218" s="51" t="s">
        <v>529</v>
      </c>
      <c r="E218" s="36" t="s">
        <v>530</v>
      </c>
      <c r="F218" s="37">
        <f>Source!AQ126</f>
        <v>1.62</v>
      </c>
      <c r="G218" s="38"/>
      <c r="H218" s="39" t="str">
        <f>Source!DI126</f>
        <v>)*1,3</v>
      </c>
      <c r="I218" s="38"/>
      <c r="J218" s="39"/>
      <c r="K218" s="39"/>
      <c r="L218" s="38"/>
      <c r="M218" s="40">
        <f>Source!U126</f>
        <v>6.3180000000000014</v>
      </c>
    </row>
    <row r="219" spans="1:26" ht="15" x14ac:dyDescent="0.25">
      <c r="H219" s="81">
        <f>I215+I216+I217</f>
        <v>165.79999999999998</v>
      </c>
      <c r="I219" s="81"/>
      <c r="K219" s="81">
        <f>L215+L216+L217</f>
        <v>4982.41</v>
      </c>
      <c r="L219" s="81"/>
      <c r="M219" s="41">
        <f>Source!U126</f>
        <v>6.3180000000000014</v>
      </c>
      <c r="O219" s="26">
        <f>H219</f>
        <v>165.79999999999998</v>
      </c>
      <c r="P219" s="26">
        <f>K219</f>
        <v>4982.41</v>
      </c>
      <c r="Q219" s="26">
        <f>M219</f>
        <v>6.3180000000000014</v>
      </c>
      <c r="W219">
        <f>IF(Source!BI126&lt;=1,I215+I216+I217, 0)</f>
        <v>0</v>
      </c>
      <c r="X219">
        <f>IF(Source!BI126=2,I215+I216+I217, 0)</f>
        <v>0</v>
      </c>
      <c r="Y219">
        <f>IF(Source!BI126=3,I215+I216+I217, 0)</f>
        <v>0</v>
      </c>
      <c r="Z219">
        <f>IF(Source!BI126=4,I215+I216+I217, 0)</f>
        <v>165.79999999999998</v>
      </c>
    </row>
    <row r="221" spans="1:26" ht="15" x14ac:dyDescent="0.25">
      <c r="A221" s="84" t="str">
        <f>CONCATENATE("Итого по разделу: ",IF(Source!G128&lt;&gt;"Новый раздел", Source!G128, ""))</f>
        <v>Итого по разделу: Пусконаладочные работы</v>
      </c>
      <c r="B221" s="84"/>
      <c r="C221" s="84"/>
      <c r="D221" s="84"/>
      <c r="E221" s="84"/>
      <c r="F221" s="84"/>
      <c r="G221" s="84"/>
      <c r="H221" s="83">
        <f>SUM(O207:O220)</f>
        <v>611.30999999999995</v>
      </c>
      <c r="I221" s="83"/>
      <c r="J221" s="29"/>
      <c r="K221" s="83">
        <f>SUM(P207:P220)</f>
        <v>18369.88</v>
      </c>
      <c r="L221" s="83"/>
      <c r="M221" s="41">
        <f>SUM(Q207:Q220)</f>
        <v>25.272000000000002</v>
      </c>
    </row>
    <row r="225" spans="1:26" ht="16.5" x14ac:dyDescent="0.25">
      <c r="A225" s="82" t="str">
        <f>CONCATENATE("Раздел: ",IF(Source!G157&lt;&gt;"Новый раздел", Source!G157, ""))</f>
        <v>Раздел: Материалы Заказчика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26" ht="14.25" x14ac:dyDescent="0.2">
      <c r="A226" s="50">
        <v>32</v>
      </c>
      <c r="B226" s="50" t="str">
        <f>Source!E161</f>
        <v>23</v>
      </c>
      <c r="C226" s="51" t="s">
        <v>6</v>
      </c>
      <c r="D226" s="51" t="str">
        <f>Source!G161</f>
        <v>Кабель АПвБП 3х95/16-10</v>
      </c>
      <c r="E226" s="36" t="str">
        <f>Source!H161</f>
        <v>м</v>
      </c>
      <c r="F226" s="37">
        <f>Source!I161</f>
        <v>1040</v>
      </c>
      <c r="G226" s="38">
        <f>Source!AL161</f>
        <v>755</v>
      </c>
      <c r="H226" s="39" t="str">
        <f>Source!DD161</f>
        <v/>
      </c>
      <c r="I226" s="38">
        <f>ROUND(Source!AC161*Source!I161, 2)</f>
        <v>785200</v>
      </c>
      <c r="J226" s="39" t="str">
        <f>Source!BO161</f>
        <v/>
      </c>
      <c r="K226" s="39">
        <f>IF(Source!BC161&lt;&gt; 0, Source!BC161, 1)</f>
        <v>1</v>
      </c>
      <c r="L226" s="38">
        <f>Source!P161</f>
        <v>785200</v>
      </c>
      <c r="M226" s="43"/>
      <c r="S226">
        <f>ROUND((Source!FX161/100)*((ROUND(Source!AF161*Source!I161, 2)+ROUND(Source!AE161*Source!I161, 2))), 2)</f>
        <v>0</v>
      </c>
      <c r="T226">
        <f>Source!X161</f>
        <v>0</v>
      </c>
      <c r="U226">
        <f>ROUND((Source!FY161/100)*((ROUND(Source!AF161*Source!I161, 2)+ROUND(Source!AE161*Source!I161, 2))), 2)</f>
        <v>0</v>
      </c>
      <c r="V226">
        <f>Source!Y161</f>
        <v>0</v>
      </c>
    </row>
    <row r="227" spans="1:26" ht="15" x14ac:dyDescent="0.25">
      <c r="H227" s="81">
        <f>I226</f>
        <v>785200</v>
      </c>
      <c r="I227" s="81"/>
      <c r="K227" s="81">
        <f>L226</f>
        <v>785200</v>
      </c>
      <c r="L227" s="81"/>
      <c r="M227" s="41">
        <f>Source!U161</f>
        <v>0</v>
      </c>
      <c r="O227" s="26">
        <f>H227</f>
        <v>785200</v>
      </c>
      <c r="P227" s="26">
        <f>K227</f>
        <v>785200</v>
      </c>
      <c r="Q227" s="26">
        <f>M227</f>
        <v>0</v>
      </c>
      <c r="W227">
        <f>IF(Source!BI161&lt;=1,I226, 0)</f>
        <v>785200</v>
      </c>
      <c r="X227">
        <f>IF(Source!BI161=2,I226, 0)</f>
        <v>0</v>
      </c>
      <c r="Y227">
        <f>IF(Source!BI161=3,I226, 0)</f>
        <v>0</v>
      </c>
      <c r="Z227">
        <f>IF(Source!BI161=4,I226, 0)</f>
        <v>0</v>
      </c>
    </row>
    <row r="229" spans="1:26" ht="15" x14ac:dyDescent="0.25">
      <c r="A229" s="84" t="str">
        <f>CONCATENATE("Итого по разделу: ",IF(Source!G163&lt;&gt;"Новый раздел", Source!G163, ""))</f>
        <v>Итого по разделу: Материалы Заказчика</v>
      </c>
      <c r="B229" s="84"/>
      <c r="C229" s="84"/>
      <c r="D229" s="84"/>
      <c r="E229" s="84"/>
      <c r="F229" s="84"/>
      <c r="G229" s="84"/>
      <c r="H229" s="83">
        <f>SUM(O225:O228)</f>
        <v>785200</v>
      </c>
      <c r="I229" s="83"/>
      <c r="J229" s="29"/>
      <c r="K229" s="83">
        <f>SUM(P225:P228)</f>
        <v>785200</v>
      </c>
      <c r="L229" s="83"/>
      <c r="M229" s="41">
        <f>SUM(Q225:Q228)</f>
        <v>0</v>
      </c>
    </row>
    <row r="233" spans="1:26" ht="16.5" x14ac:dyDescent="0.25">
      <c r="A233" s="82" t="str">
        <f>CONCATENATE("Раздел: ",IF(Source!G192&lt;&gt;"Новый раздел", Source!G192, ""))</f>
        <v>Раздел: Материалы не учтенные ценником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1:26" ht="14.25" x14ac:dyDescent="0.2">
      <c r="A234" s="50">
        <v>33</v>
      </c>
      <c r="B234" s="50" t="str">
        <f>Source!E196</f>
        <v>24</v>
      </c>
      <c r="C234" s="51" t="s">
        <v>6</v>
      </c>
      <c r="D234" s="51" t="str">
        <f>Source!G196</f>
        <v>Муфта соединительная  СТП-10 70/120</v>
      </c>
      <c r="E234" s="36" t="str">
        <f>Source!H196</f>
        <v>ШТ</v>
      </c>
      <c r="F234" s="37">
        <f>Source!I196</f>
        <v>3</v>
      </c>
      <c r="G234" s="38">
        <f>Source!AL196</f>
        <v>3165</v>
      </c>
      <c r="H234" s="39" t="str">
        <f>Source!DD196</f>
        <v/>
      </c>
      <c r="I234" s="38">
        <f>ROUND(Source!AC196*Source!I196, 2)</f>
        <v>9495</v>
      </c>
      <c r="J234" s="39" t="str">
        <f>Source!BO196</f>
        <v/>
      </c>
      <c r="K234" s="39">
        <f>IF(Source!BC196&lt;&gt; 0, Source!BC196, 1)</f>
        <v>1</v>
      </c>
      <c r="L234" s="38">
        <f>Source!P196</f>
        <v>9495</v>
      </c>
      <c r="M234" s="43"/>
      <c r="S234">
        <f>ROUND((Source!FX196/100)*((ROUND(Source!AF196*Source!I196, 2)+ROUND(Source!AE196*Source!I196, 2))), 2)</f>
        <v>0</v>
      </c>
      <c r="T234">
        <f>Source!X196</f>
        <v>0</v>
      </c>
      <c r="U234">
        <f>ROUND((Source!FY196/100)*((ROUND(Source!AF196*Source!I196, 2)+ROUND(Source!AE196*Source!I196, 2))), 2)</f>
        <v>0</v>
      </c>
      <c r="V234">
        <f>Source!Y196</f>
        <v>0</v>
      </c>
    </row>
    <row r="235" spans="1:26" ht="15" x14ac:dyDescent="0.25">
      <c r="H235" s="81">
        <f>I234</f>
        <v>9495</v>
      </c>
      <c r="I235" s="81"/>
      <c r="K235" s="81">
        <f>L234</f>
        <v>9495</v>
      </c>
      <c r="L235" s="81"/>
      <c r="M235" s="41">
        <f>Source!U196</f>
        <v>0</v>
      </c>
      <c r="O235" s="26">
        <f>H235</f>
        <v>9495</v>
      </c>
      <c r="P235" s="26">
        <f>K235</f>
        <v>9495</v>
      </c>
      <c r="Q235" s="26">
        <f>M235</f>
        <v>0</v>
      </c>
      <c r="W235">
        <f>IF(Source!BI196&lt;=1,I234, 0)</f>
        <v>9495</v>
      </c>
      <c r="X235">
        <f>IF(Source!BI196=2,I234, 0)</f>
        <v>0</v>
      </c>
      <c r="Y235">
        <f>IF(Source!BI196=3,I234, 0)</f>
        <v>0</v>
      </c>
      <c r="Z235">
        <f>IF(Source!BI196=4,I234, 0)</f>
        <v>0</v>
      </c>
    </row>
    <row r="236" spans="1:26" ht="76.5" x14ac:dyDescent="0.2">
      <c r="A236" s="50">
        <v>34</v>
      </c>
      <c r="B236" s="50" t="str">
        <f>Source!E197</f>
        <v>25</v>
      </c>
      <c r="C236" s="52" t="s">
        <v>53</v>
      </c>
      <c r="D236" s="51" t="str">
        <f>Source!G197</f>
        <v>Муфта концевая КНтП-10 70/120</v>
      </c>
      <c r="E236" s="36" t="str">
        <f>Source!H197</f>
        <v>ШТ</v>
      </c>
      <c r="F236" s="37">
        <f>Source!I197</f>
        <v>2</v>
      </c>
      <c r="G236" s="38">
        <f>Source!AL197</f>
        <v>1699</v>
      </c>
      <c r="H236" s="39" t="str">
        <f>Source!DD197</f>
        <v/>
      </c>
      <c r="I236" s="38">
        <f>ROUND(Source!AC197*Source!I197, 2)</f>
        <v>3398</v>
      </c>
      <c r="J236" s="39" t="str">
        <f>Source!BO197</f>
        <v/>
      </c>
      <c r="K236" s="39">
        <f>IF(Source!BC197&lt;&gt; 0, Source!BC197, 1)</f>
        <v>1</v>
      </c>
      <c r="L236" s="38">
        <f>Source!P197</f>
        <v>3398</v>
      </c>
      <c r="M236" s="43"/>
      <c r="S236">
        <f>ROUND((Source!FX197/100)*((ROUND(Source!AF197*Source!I197, 2)+ROUND(Source!AE197*Source!I197, 2))), 2)</f>
        <v>0</v>
      </c>
      <c r="T236">
        <f>Source!X197</f>
        <v>0</v>
      </c>
      <c r="U236">
        <f>ROUND((Source!FY197/100)*((ROUND(Source!AF197*Source!I197, 2)+ROUND(Source!AE197*Source!I197, 2))), 2)</f>
        <v>0</v>
      </c>
      <c r="V236">
        <f>Source!Y197</f>
        <v>0</v>
      </c>
    </row>
    <row r="237" spans="1:26" ht="15" x14ac:dyDescent="0.25">
      <c r="H237" s="81">
        <f>I236</f>
        <v>3398</v>
      </c>
      <c r="I237" s="81"/>
      <c r="K237" s="81">
        <f>L236</f>
        <v>3398</v>
      </c>
      <c r="L237" s="81"/>
      <c r="M237" s="41">
        <f>Source!U197</f>
        <v>0</v>
      </c>
      <c r="O237" s="26">
        <f>H237</f>
        <v>3398</v>
      </c>
      <c r="P237" s="26">
        <f>K237</f>
        <v>3398</v>
      </c>
      <c r="Q237" s="26">
        <f>M237</f>
        <v>0</v>
      </c>
      <c r="W237">
        <f>IF(Source!BI197&lt;=1,I236, 0)</f>
        <v>3398</v>
      </c>
      <c r="X237">
        <f>IF(Source!BI197=2,I236, 0)</f>
        <v>0</v>
      </c>
      <c r="Y237">
        <f>IF(Source!BI197=3,I236, 0)</f>
        <v>0</v>
      </c>
      <c r="Z237">
        <f>IF(Source!BI197=4,I236, 0)</f>
        <v>0</v>
      </c>
    </row>
    <row r="239" spans="1:26" ht="15" x14ac:dyDescent="0.25">
      <c r="A239" s="84" t="str">
        <f>CONCATENATE("Итого по разделу: ",IF(Source!G199&lt;&gt;"Новый раздел", Source!G199, ""))</f>
        <v>Итого по разделу: Материалы не учтенные ценником</v>
      </c>
      <c r="B239" s="84"/>
      <c r="C239" s="84"/>
      <c r="D239" s="84"/>
      <c r="E239" s="84"/>
      <c r="F239" s="84"/>
      <c r="G239" s="84"/>
      <c r="H239" s="83">
        <f>SUM(O233:O238)</f>
        <v>12893</v>
      </c>
      <c r="I239" s="83"/>
      <c r="J239" s="29"/>
      <c r="K239" s="83">
        <f>SUM(P233:P238)</f>
        <v>12893</v>
      </c>
      <c r="L239" s="83"/>
      <c r="M239" s="41">
        <f>SUM(Q233:Q238)</f>
        <v>0</v>
      </c>
    </row>
    <row r="242" spans="1:32" ht="14.25" x14ac:dyDescent="0.2">
      <c r="D242" s="87" t="str">
        <f>Source!H227</f>
        <v>ТЗР 6,9%</v>
      </c>
      <c r="E242" s="87"/>
      <c r="F242" s="87"/>
      <c r="G242" s="87"/>
      <c r="H242" s="87"/>
      <c r="I242" s="87"/>
      <c r="J242" s="87"/>
      <c r="K242" s="88">
        <f>IF(Source!F227=0, "", Source!F227)</f>
        <v>889.62</v>
      </c>
      <c r="L242" s="88"/>
    </row>
    <row r="243" spans="1:32" ht="14.25" x14ac:dyDescent="0.2">
      <c r="D243" s="87" t="str">
        <f>Source!H228</f>
        <v>Итого с ТЗР</v>
      </c>
      <c r="E243" s="87"/>
      <c r="F243" s="87"/>
      <c r="G243" s="87"/>
      <c r="H243" s="87"/>
      <c r="I243" s="87"/>
      <c r="J243" s="87"/>
      <c r="K243" s="88">
        <f>IF(Source!F228=0, "", Source!F228)</f>
        <v>13782.62</v>
      </c>
      <c r="L243" s="88"/>
    </row>
    <row r="245" spans="1:32" ht="30" x14ac:dyDescent="0.25">
      <c r="A245" s="84" t="str">
        <f>CONCATENATE("Итого по акту: ",IF(Source!G230&lt;&gt;"Новая локальная смета", Source!G230, ""))</f>
        <v>Итого по акту: Существующая электрическая сеть 6 кВ по территории СНТ " Фарфорист" и СНТ " Дружба"</v>
      </c>
      <c r="B245" s="84"/>
      <c r="C245" s="84"/>
      <c r="D245" s="84"/>
      <c r="E245" s="84"/>
      <c r="F245" s="84"/>
      <c r="G245" s="84"/>
      <c r="H245" s="83">
        <f>SUM(O35:O244)</f>
        <v>948712.75</v>
      </c>
      <c r="I245" s="83"/>
      <c r="J245" s="29"/>
      <c r="K245" s="83">
        <f>SUM(P35:P244)</f>
        <v>3244690.47</v>
      </c>
      <c r="L245" s="83"/>
      <c r="M245" s="41">
        <f>SUM(Q35:Q244)</f>
        <v>2832.8306627999996</v>
      </c>
      <c r="AF245" s="56" t="str">
        <f>CONCATENATE("Итого по локальной смете: ",IF(Source!G230&lt;&gt;"Новая локальная смета", Source!G230, ""))</f>
        <v>Итого по локальной смете: Существующая электрическая сеть 6 кВ по территории СНТ " Фарфорист" и СНТ " Дружба"</v>
      </c>
    </row>
    <row r="247" spans="1:32" hidden="1" x14ac:dyDescent="0.2"/>
    <row r="248" spans="1:32" hidden="1" x14ac:dyDescent="0.2"/>
    <row r="249" spans="1:32" ht="30" hidden="1" x14ac:dyDescent="0.25">
      <c r="A249" s="84" t="str">
        <f>CONCATENATE("Итого по смете: ",IF(Source!G259&lt;&gt;"Новый объект", Source!G259, ""))</f>
        <v>Итого по смете: Существующая электрическая сеть 6 кВ по территории СНТ " Фарфорист" и СНТ " Дружба"</v>
      </c>
      <c r="B249" s="84"/>
      <c r="C249" s="84"/>
      <c r="D249" s="84"/>
      <c r="E249" s="84"/>
      <c r="F249" s="84"/>
      <c r="G249" s="84"/>
      <c r="H249" s="83">
        <f>SUM(O1:O248)</f>
        <v>948712.75</v>
      </c>
      <c r="I249" s="83"/>
      <c r="J249" s="29"/>
      <c r="K249" s="83">
        <f>SUM(P1:P248)</f>
        <v>3244690.47</v>
      </c>
      <c r="L249" s="83"/>
      <c r="M249" s="41">
        <f>SUM(Q1:Q248)</f>
        <v>2832.8306627999996</v>
      </c>
      <c r="AF249" s="56" t="str">
        <f>CONCATENATE("Итого по смете: ",IF(Source!G259&lt;&gt;"Новый объект", Source!G259, ""))</f>
        <v>Итого по смете: Существующая электрическая сеть 6 кВ по территории СНТ " Фарфорист" и СНТ " Дружба"</v>
      </c>
    </row>
    <row r="250" spans="1:32" hidden="1" x14ac:dyDescent="0.2"/>
    <row r="251" spans="1:32" ht="14.25" x14ac:dyDescent="0.2">
      <c r="D251" s="87" t="str">
        <f>Source!H287</f>
        <v>Материалы Заказчика</v>
      </c>
      <c r="E251" s="87"/>
      <c r="F251" s="87"/>
      <c r="G251" s="87"/>
      <c r="H251" s="87"/>
      <c r="I251" s="87"/>
      <c r="J251" s="87"/>
      <c r="K251" s="88">
        <f>IF(Source!F287=0, "", Source!F287)</f>
        <v>785200</v>
      </c>
      <c r="L251" s="88"/>
    </row>
    <row r="252" spans="1:32" ht="14.25" x14ac:dyDescent="0.2">
      <c r="D252" s="87" t="str">
        <f>Source!H288</f>
        <v>Итого без материалов Заказчика</v>
      </c>
      <c r="E252" s="87"/>
      <c r="F252" s="87"/>
      <c r="G252" s="87"/>
      <c r="H252" s="87"/>
      <c r="I252" s="87"/>
      <c r="J252" s="87"/>
      <c r="K252" s="88">
        <f>IF(Source!F288=0, "", Source!F288)</f>
        <v>2460380.09</v>
      </c>
      <c r="L252" s="88"/>
    </row>
    <row r="253" spans="1:32" ht="14.25" x14ac:dyDescent="0.2">
      <c r="D253" s="87" t="str">
        <f>Source!H289</f>
        <v>Составление тех. отчета 1,5%</v>
      </c>
      <c r="E253" s="87"/>
      <c r="F253" s="87"/>
      <c r="G253" s="87"/>
      <c r="H253" s="87"/>
      <c r="I253" s="87"/>
      <c r="J253" s="87"/>
      <c r="K253" s="88">
        <f>IF(Source!F289=0, "", Source!F289)</f>
        <v>275.55</v>
      </c>
      <c r="L253" s="88"/>
    </row>
    <row r="254" spans="1:32" ht="14.25" x14ac:dyDescent="0.2">
      <c r="D254" s="87" t="str">
        <f>Source!H290</f>
        <v>Составление сметной документации 0,6%</v>
      </c>
      <c r="E254" s="87"/>
      <c r="F254" s="87"/>
      <c r="G254" s="87"/>
      <c r="H254" s="87"/>
      <c r="I254" s="87"/>
      <c r="J254" s="87"/>
      <c r="K254" s="88">
        <f>IF(Source!F290=0, "", Source!F290)</f>
        <v>14762.28</v>
      </c>
      <c r="L254" s="88"/>
    </row>
    <row r="255" spans="1:32" ht="14.25" x14ac:dyDescent="0.2">
      <c r="D255" s="87" t="str">
        <f>Source!H291</f>
        <v>Итого</v>
      </c>
      <c r="E255" s="87"/>
      <c r="F255" s="87"/>
      <c r="G255" s="87"/>
      <c r="H255" s="87"/>
      <c r="I255" s="87"/>
      <c r="J255" s="87"/>
      <c r="K255" s="88">
        <f>IF(Source!F291=0, "", Source!F291)</f>
        <v>2475417.92</v>
      </c>
      <c r="L255" s="88"/>
    </row>
    <row r="256" spans="1:32" ht="14.25" x14ac:dyDescent="0.2">
      <c r="D256" s="87" t="str">
        <f>Source!H292</f>
        <v>НДС 20%</v>
      </c>
      <c r="E256" s="87"/>
      <c r="F256" s="87"/>
      <c r="G256" s="87"/>
      <c r="H256" s="87"/>
      <c r="I256" s="87"/>
      <c r="J256" s="87"/>
      <c r="K256" s="88">
        <f>IF(Source!F292=0, "", Source!F292)</f>
        <v>495083.58</v>
      </c>
      <c r="L256" s="88"/>
    </row>
    <row r="257" spans="1:13" ht="14.25" x14ac:dyDescent="0.2">
      <c r="D257" s="87" t="str">
        <f>Source!H293</f>
        <v>Итого с НДС</v>
      </c>
      <c r="E257" s="87"/>
      <c r="F257" s="87"/>
      <c r="G257" s="87"/>
      <c r="H257" s="87"/>
      <c r="I257" s="87"/>
      <c r="J257" s="87"/>
      <c r="K257" s="88">
        <f>IF(Source!F293=0, "", Source!F293)</f>
        <v>2970501.5</v>
      </c>
      <c r="L257" s="88"/>
    </row>
    <row r="260" spans="1:13" ht="14.25" x14ac:dyDescent="0.2">
      <c r="A260" s="11"/>
      <c r="B260" s="11"/>
      <c r="C260" s="102" t="s">
        <v>595</v>
      </c>
      <c r="D260" s="102"/>
      <c r="E260" s="27"/>
      <c r="F260" s="27"/>
      <c r="G260" s="27"/>
      <c r="H260" s="27"/>
      <c r="I260" s="27"/>
      <c r="J260" s="11"/>
      <c r="K260" s="11"/>
      <c r="L260" s="11"/>
      <c r="M260" s="11"/>
    </row>
    <row r="261" spans="1:13" ht="14.25" x14ac:dyDescent="0.2">
      <c r="A261" s="11"/>
      <c r="B261" s="11"/>
      <c r="C261" s="11"/>
      <c r="D261" s="11"/>
      <c r="E261" s="89" t="s">
        <v>563</v>
      </c>
      <c r="F261" s="89"/>
      <c r="G261" s="89"/>
      <c r="H261" s="89"/>
      <c r="I261" s="89"/>
      <c r="J261" s="11"/>
      <c r="K261" s="11"/>
      <c r="L261" s="11"/>
      <c r="M261" s="11"/>
    </row>
    <row r="262" spans="1:13" ht="14.2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4.25" x14ac:dyDescent="0.2">
      <c r="A263" s="11"/>
      <c r="B263" s="11"/>
      <c r="C263" s="102" t="s">
        <v>596</v>
      </c>
      <c r="D263" s="102"/>
      <c r="E263" s="27"/>
      <c r="F263" s="27"/>
      <c r="G263" s="27"/>
      <c r="H263" s="27"/>
      <c r="I263" s="27"/>
      <c r="J263" s="11"/>
      <c r="K263" s="11"/>
      <c r="L263" s="11"/>
      <c r="M263" s="11"/>
    </row>
    <row r="264" spans="1:13" ht="14.25" x14ac:dyDescent="0.2">
      <c r="A264" s="11"/>
      <c r="B264" s="11"/>
      <c r="C264" s="11"/>
      <c r="D264" s="11"/>
      <c r="E264" s="89" t="s">
        <v>563</v>
      </c>
      <c r="F264" s="89"/>
      <c r="G264" s="89"/>
      <c r="H264" s="89"/>
      <c r="I264" s="89"/>
      <c r="J264" s="11"/>
      <c r="K264" s="11"/>
      <c r="L264" s="11"/>
      <c r="M264" s="11"/>
    </row>
  </sheetData>
  <mergeCells count="153">
    <mergeCell ref="A9:B9"/>
    <mergeCell ref="C9:I9"/>
    <mergeCell ref="C10:I10"/>
    <mergeCell ref="K10:M11"/>
    <mergeCell ref="A11:B11"/>
    <mergeCell ref="C11:I11"/>
    <mergeCell ref="J2:M2"/>
    <mergeCell ref="I3:M3"/>
    <mergeCell ref="J4:M4"/>
    <mergeCell ref="K6:M6"/>
    <mergeCell ref="K7:M7"/>
    <mergeCell ref="K8:M9"/>
    <mergeCell ref="A17:B17"/>
    <mergeCell ref="C17:I17"/>
    <mergeCell ref="C18:I18"/>
    <mergeCell ref="H19:J19"/>
    <mergeCell ref="K19:M19"/>
    <mergeCell ref="C12:I12"/>
    <mergeCell ref="K12:M13"/>
    <mergeCell ref="A13:B13"/>
    <mergeCell ref="C13:I13"/>
    <mergeCell ref="C14:I14"/>
    <mergeCell ref="K14:M15"/>
    <mergeCell ref="A15:B15"/>
    <mergeCell ref="C15:I15"/>
    <mergeCell ref="H20:I20"/>
    <mergeCell ref="K20:M20"/>
    <mergeCell ref="K21:M21"/>
    <mergeCell ref="K22:M22"/>
    <mergeCell ref="G24:G25"/>
    <mergeCell ref="H24:H25"/>
    <mergeCell ref="I24:J24"/>
    <mergeCell ref="C16:I16"/>
    <mergeCell ref="K16:M17"/>
    <mergeCell ref="B28:M28"/>
    <mergeCell ref="B29:M29"/>
    <mergeCell ref="A31:M31"/>
    <mergeCell ref="A32:B32"/>
    <mergeCell ref="C32:C33"/>
    <mergeCell ref="D32:D33"/>
    <mergeCell ref="E32:E33"/>
    <mergeCell ref="F32:F33"/>
    <mergeCell ref="G32:G33"/>
    <mergeCell ref="H32:H33"/>
    <mergeCell ref="D251:J251"/>
    <mergeCell ref="K251:L251"/>
    <mergeCell ref="D252:J252"/>
    <mergeCell ref="K252:L252"/>
    <mergeCell ref="I32:I33"/>
    <mergeCell ref="J32:J33"/>
    <mergeCell ref="K32:K33"/>
    <mergeCell ref="L32:L33"/>
    <mergeCell ref="M32:M33"/>
    <mergeCell ref="D242:J242"/>
    <mergeCell ref="K242:L242"/>
    <mergeCell ref="K89:L89"/>
    <mergeCell ref="H89:I89"/>
    <mergeCell ref="G87:H87"/>
    <mergeCell ref="C263:D263"/>
    <mergeCell ref="E264:I264"/>
    <mergeCell ref="G103:H103"/>
    <mergeCell ref="K96:L96"/>
    <mergeCell ref="H96:I96"/>
    <mergeCell ref="G94:H94"/>
    <mergeCell ref="H157:I157"/>
    <mergeCell ref="K148:L148"/>
    <mergeCell ref="H148:I148"/>
    <mergeCell ref="K139:L139"/>
    <mergeCell ref="D256:J256"/>
    <mergeCell ref="K256:L256"/>
    <mergeCell ref="D257:J257"/>
    <mergeCell ref="K257:L257"/>
    <mergeCell ref="C260:D260"/>
    <mergeCell ref="E261:I261"/>
    <mergeCell ref="D253:J253"/>
    <mergeCell ref="K253:L253"/>
    <mergeCell ref="D254:J254"/>
    <mergeCell ref="K254:L254"/>
    <mergeCell ref="D255:J255"/>
    <mergeCell ref="K255:L255"/>
    <mergeCell ref="D243:J243"/>
    <mergeCell ref="K243:L243"/>
    <mergeCell ref="G46:H46"/>
    <mergeCell ref="K42:L42"/>
    <mergeCell ref="H42:I42"/>
    <mergeCell ref="G40:H40"/>
    <mergeCell ref="A36:M36"/>
    <mergeCell ref="K173:L173"/>
    <mergeCell ref="H173:I173"/>
    <mergeCell ref="K166:L166"/>
    <mergeCell ref="H166:I166"/>
    <mergeCell ref="K157:L157"/>
    <mergeCell ref="G60:H60"/>
    <mergeCell ref="K55:L55"/>
    <mergeCell ref="H55:I55"/>
    <mergeCell ref="K52:L52"/>
    <mergeCell ref="H52:I52"/>
    <mergeCell ref="K48:L48"/>
    <mergeCell ref="H48:I48"/>
    <mergeCell ref="K82:L82"/>
    <mergeCell ref="H82:I82"/>
    <mergeCell ref="K71:L71"/>
    <mergeCell ref="H71:I71"/>
    <mergeCell ref="K62:L62"/>
    <mergeCell ref="H62:I62"/>
    <mergeCell ref="H108:I108"/>
    <mergeCell ref="K108:L108"/>
    <mergeCell ref="A108:G108"/>
    <mergeCell ref="K106:L106"/>
    <mergeCell ref="H106:I106"/>
    <mergeCell ref="K227:L227"/>
    <mergeCell ref="H227:I227"/>
    <mergeCell ref="A225:M225"/>
    <mergeCell ref="H221:I221"/>
    <mergeCell ref="K221:L221"/>
    <mergeCell ref="H139:I139"/>
    <mergeCell ref="K130:L130"/>
    <mergeCell ref="H130:I130"/>
    <mergeCell ref="K121:L121"/>
    <mergeCell ref="H121:I121"/>
    <mergeCell ref="A112:M112"/>
    <mergeCell ref="K183:L183"/>
    <mergeCell ref="H183:I183"/>
    <mergeCell ref="H249:I249"/>
    <mergeCell ref="K249:L249"/>
    <mergeCell ref="A249:G249"/>
    <mergeCell ref="H245:I245"/>
    <mergeCell ref="K245:L245"/>
    <mergeCell ref="A245:G245"/>
    <mergeCell ref="H239:I239"/>
    <mergeCell ref="K239:L239"/>
    <mergeCell ref="H203:I203"/>
    <mergeCell ref="K203:L203"/>
    <mergeCell ref="A203:G203"/>
    <mergeCell ref="K201:L201"/>
    <mergeCell ref="H201:I201"/>
    <mergeCell ref="K193:L193"/>
    <mergeCell ref="H193:I193"/>
    <mergeCell ref="A221:G221"/>
    <mergeCell ref="K219:L219"/>
    <mergeCell ref="H219:I219"/>
    <mergeCell ref="K213:L213"/>
    <mergeCell ref="H213:I213"/>
    <mergeCell ref="A207:M207"/>
    <mergeCell ref="H229:I229"/>
    <mergeCell ref="K229:L229"/>
    <mergeCell ref="A229:G229"/>
    <mergeCell ref="A239:G239"/>
    <mergeCell ref="K237:L237"/>
    <mergeCell ref="H237:I237"/>
    <mergeCell ref="K235:L235"/>
    <mergeCell ref="H235:I235"/>
    <mergeCell ref="A233:M233"/>
  </mergeCells>
  <pageMargins left="0.4" right="0.2" top="0.4" bottom="0.4" header="0.2" footer="0.2"/>
  <pageSetup paperSize="9" scale="58" fitToHeight="0" orientation="portrait" r:id="rId1"/>
  <headerFooter>
    <oddHeader>&amp;L&amp;8.  Доп. раб. место  FStS-0041017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Normal="100" workbookViewId="0"/>
  </sheetViews>
  <sheetFormatPr defaultRowHeight="12.75" x14ac:dyDescent="0.2"/>
  <cols>
    <col min="1" max="1" width="6.7109375" customWidth="1"/>
    <col min="2" max="2" width="75.7109375" customWidth="1"/>
    <col min="3" max="5" width="15.7109375" customWidth="1"/>
    <col min="31" max="31" width="129.7109375" customWidth="1"/>
  </cols>
  <sheetData>
    <row r="1" spans="1:5" x14ac:dyDescent="0.2">
      <c r="A1" s="9" t="str">
        <f>Source!B1</f>
        <v>Smeta.RU  (495) 974-1589</v>
      </c>
    </row>
    <row r="2" spans="1:5" ht="14.25" x14ac:dyDescent="0.2">
      <c r="C2" s="11"/>
      <c r="D2" s="11"/>
    </row>
    <row r="3" spans="1:5" ht="15" x14ac:dyDescent="0.25">
      <c r="C3" s="11"/>
      <c r="D3" s="62" t="s">
        <v>494</v>
      </c>
    </row>
    <row r="4" spans="1:5" ht="15" x14ac:dyDescent="0.25">
      <c r="C4" s="62"/>
      <c r="D4" s="62"/>
    </row>
    <row r="5" spans="1:5" ht="15" x14ac:dyDescent="0.25">
      <c r="C5" s="120" t="s">
        <v>597</v>
      </c>
      <c r="D5" s="120"/>
    </row>
    <row r="6" spans="1:5" ht="15" x14ac:dyDescent="0.25">
      <c r="C6" s="63"/>
      <c r="D6" s="63"/>
    </row>
    <row r="7" spans="1:5" ht="15" x14ac:dyDescent="0.25">
      <c r="C7" s="120" t="s">
        <v>597</v>
      </c>
      <c r="D7" s="120"/>
    </row>
    <row r="8" spans="1:5" ht="15" x14ac:dyDescent="0.25">
      <c r="C8" s="63"/>
      <c r="D8" s="63"/>
    </row>
    <row r="9" spans="1:5" ht="15" x14ac:dyDescent="0.25">
      <c r="C9" s="62" t="s">
        <v>598</v>
      </c>
      <c r="D9" s="11"/>
    </row>
    <row r="10" spans="1:5" ht="14.25" x14ac:dyDescent="0.2">
      <c r="A10" s="11"/>
      <c r="B10" s="11"/>
      <c r="C10" s="11"/>
      <c r="D10" s="11"/>
      <c r="E10" s="11"/>
    </row>
    <row r="11" spans="1:5" ht="15.75" x14ac:dyDescent="0.25">
      <c r="A11" s="121" t="str">
        <f>CONCATENATE("Дефектный акт ", IF(Source!AN15&lt;&gt;"", Source!AN15," "))</f>
        <v xml:space="preserve">Дефектный акт  </v>
      </c>
      <c r="B11" s="121"/>
      <c r="C11" s="121"/>
      <c r="D11" s="121"/>
      <c r="E11" s="11"/>
    </row>
    <row r="12" spans="1:5" ht="15" x14ac:dyDescent="0.25">
      <c r="A12" s="122" t="str">
        <f>CONCATENATE("На капитальный ремонт ", Source!F12)</f>
        <v>На капитальный ремонт 1</v>
      </c>
      <c r="B12" s="122"/>
      <c r="C12" s="122"/>
      <c r="D12" s="122"/>
      <c r="E12" s="11"/>
    </row>
    <row r="13" spans="1:5" ht="14.25" x14ac:dyDescent="0.2">
      <c r="A13" s="11"/>
      <c r="B13" s="11"/>
      <c r="C13" s="11"/>
      <c r="D13" s="11"/>
      <c r="E13" s="11"/>
    </row>
    <row r="14" spans="1:5" ht="15" x14ac:dyDescent="0.2">
      <c r="A14" s="11"/>
      <c r="B14" s="64" t="s">
        <v>599</v>
      </c>
      <c r="C14" s="11"/>
      <c r="D14" s="11"/>
      <c r="E14" s="11"/>
    </row>
    <row r="15" spans="1:5" ht="15" x14ac:dyDescent="0.2">
      <c r="A15" s="11"/>
      <c r="B15" s="64" t="s">
        <v>600</v>
      </c>
      <c r="C15" s="11"/>
      <c r="D15" s="11"/>
      <c r="E15" s="11"/>
    </row>
    <row r="16" spans="1:5" ht="15" x14ac:dyDescent="0.2">
      <c r="A16" s="11"/>
      <c r="B16" s="64" t="s">
        <v>601</v>
      </c>
      <c r="C16" s="11"/>
      <c r="D16" s="11"/>
      <c r="E16" s="11"/>
    </row>
    <row r="17" spans="1:31" ht="28.5" x14ac:dyDescent="0.2">
      <c r="A17" s="23" t="s">
        <v>511</v>
      </c>
      <c r="B17" s="23" t="s">
        <v>513</v>
      </c>
      <c r="C17" s="23" t="s">
        <v>602</v>
      </c>
      <c r="D17" s="23" t="s">
        <v>603</v>
      </c>
      <c r="E17" s="65" t="s">
        <v>604</v>
      </c>
    </row>
    <row r="18" spans="1:31" ht="14.25" x14ac:dyDescent="0.2">
      <c r="A18" s="67">
        <v>1</v>
      </c>
      <c r="B18" s="67">
        <v>2</v>
      </c>
      <c r="C18" s="67">
        <v>3</v>
      </c>
      <c r="D18" s="67">
        <v>4</v>
      </c>
      <c r="E18" s="68">
        <v>5</v>
      </c>
    </row>
    <row r="19" spans="1:31" ht="33" x14ac:dyDescent="0.25">
      <c r="A19" s="119" t="str">
        <f>CONCATENATE("Локальная смета: ", Source!G20)</f>
        <v>Локальная смета: Существующая электрическая сеть 6 кВ по территории СНТ " Фарфорист" и СНТ " Дружба"</v>
      </c>
      <c r="B19" s="119"/>
      <c r="C19" s="119"/>
      <c r="D19" s="119"/>
      <c r="E19" s="119"/>
      <c r="AE19" s="66" t="str">
        <f>CONCATENATE("Локальная смета: ", Source!G20)</f>
        <v>Локальная смета: Существующая электрическая сеть 6 кВ по территории СНТ " Фарфорист" и СНТ " Дружба"</v>
      </c>
    </row>
    <row r="20" spans="1:31" ht="16.5" x14ac:dyDescent="0.25">
      <c r="A20" s="119" t="str">
        <f>CONCATENATE("Раздел: ", Source!G24)</f>
        <v>Раздел: Ремонтные работы</v>
      </c>
      <c r="B20" s="119"/>
      <c r="C20" s="119"/>
      <c r="D20" s="119"/>
      <c r="E20" s="119"/>
    </row>
    <row r="21" spans="1:31" ht="28.5" x14ac:dyDescent="0.2">
      <c r="A21" s="73" t="str">
        <f>Source!E28</f>
        <v>1</v>
      </c>
      <c r="B21" s="74" t="str">
        <f>Source!G28</f>
        <v>Разработка грунта вручную в траншеях глубиной до 2 м без креплений с откосами, группа грунтов 2</v>
      </c>
      <c r="C21" s="75" t="str">
        <f>Source!H28</f>
        <v>100 м3 грунта</v>
      </c>
      <c r="D21" s="76">
        <f>Source!I28</f>
        <v>3.6720000000000002</v>
      </c>
      <c r="E21" s="73"/>
    </row>
    <row r="22" spans="1:31" ht="14.25" x14ac:dyDescent="0.2">
      <c r="A22" s="73" t="str">
        <f>Source!E29</f>
        <v>2</v>
      </c>
      <c r="B22" s="74" t="str">
        <f>Source!G29</f>
        <v>Засыпка вручную траншей, пазух котлованов и ям, группа грунтов 1</v>
      </c>
      <c r="C22" s="75" t="str">
        <f>Source!H29</f>
        <v>100 м3 грунта</v>
      </c>
      <c r="D22" s="76">
        <f>Source!I29</f>
        <v>2.5224000000000002</v>
      </c>
      <c r="E22" s="73"/>
    </row>
    <row r="23" spans="1:31" ht="28.5" x14ac:dyDescent="0.2">
      <c r="A23" s="73" t="str">
        <f>Source!E30</f>
        <v>3</v>
      </c>
      <c r="B23" s="74" t="str">
        <f>Source!G30</f>
        <v>Погрузка при автомобильных перевозках грунта растительного слоя (земля, перегной)</v>
      </c>
      <c r="C23" s="75" t="str">
        <f>Source!H30</f>
        <v>1 Т ГРУЗА</v>
      </c>
      <c r="D23" s="76">
        <f>Source!I30</f>
        <v>201.18</v>
      </c>
      <c r="E23" s="73"/>
    </row>
    <row r="24" spans="1:31" ht="42.75" x14ac:dyDescent="0.2">
      <c r="A24" s="73" t="str">
        <f>Source!E31</f>
        <v>4</v>
      </c>
      <c r="B24" s="74" t="str">
        <f>Source!G31</f>
        <v>Перевозка грузов I класса автомобилями-самосвалами грузоподъемностью 10 т работающих вне карьера на расстояние до 25 км</v>
      </c>
      <c r="C24" s="75" t="str">
        <f>Source!H31</f>
        <v>1 Т ГРУЗА</v>
      </c>
      <c r="D24" s="76">
        <f>Source!I31</f>
        <v>201.18</v>
      </c>
      <c r="E24" s="73"/>
    </row>
    <row r="25" spans="1:31" ht="42.75" x14ac:dyDescent="0.2">
      <c r="A25" s="73" t="str">
        <f>Source!E32</f>
        <v>5</v>
      </c>
      <c r="B25" s="74" t="str">
        <f>Source!G32</f>
        <v>Устройство трубопроводов из хризотилцементных труб с соединением полиэтиленовыми муфтами до 2 отверстий</v>
      </c>
      <c r="C25" s="75" t="str">
        <f>Source!H32</f>
        <v>1 канало-километр трубопровода</v>
      </c>
      <c r="D25" s="76">
        <f>Source!I32</f>
        <v>0.06</v>
      </c>
      <c r="E25" s="73"/>
    </row>
    <row r="26" spans="1:31" ht="14.25" x14ac:dyDescent="0.2">
      <c r="A26" s="73" t="str">
        <f>Source!E33</f>
        <v>6</v>
      </c>
      <c r="B26" s="74" t="str">
        <f>Source!G33</f>
        <v>Герметизация канала кабельной канализации занятого</v>
      </c>
      <c r="C26" s="75" t="str">
        <f>Source!H33</f>
        <v>1 канал</v>
      </c>
      <c r="D26" s="76">
        <f>Source!I33</f>
        <v>10</v>
      </c>
      <c r="E26" s="73"/>
    </row>
    <row r="27" spans="1:31" ht="14.25" x14ac:dyDescent="0.2">
      <c r="A27" s="73" t="str">
        <f>Source!E34</f>
        <v>6,1</v>
      </c>
      <c r="B27" s="74" t="str">
        <f>Source!G34</f>
        <v>Пенополиуретан (ППУ) полимер Вилан-405 (баллон 1л)</v>
      </c>
      <c r="C27" s="75" t="str">
        <f>Source!H34</f>
        <v>шт.</v>
      </c>
      <c r="D27" s="76">
        <f>Source!I34</f>
        <v>-20</v>
      </c>
      <c r="E27" s="73"/>
    </row>
    <row r="28" spans="1:31" ht="14.25" x14ac:dyDescent="0.2">
      <c r="A28" s="73" t="str">
        <f>Source!E35</f>
        <v>6,2</v>
      </c>
      <c r="B28" s="74" t="str">
        <f>Source!G35</f>
        <v>Уплотнитель кабельных проходов термоусаживаемый УКПТ 175/55/300</v>
      </c>
      <c r="C28" s="75" t="str">
        <f>Source!H35</f>
        <v>шт.</v>
      </c>
      <c r="D28" s="76">
        <f>Source!I35</f>
        <v>20</v>
      </c>
      <c r="E28" s="73"/>
    </row>
    <row r="29" spans="1:31" ht="28.5" x14ac:dyDescent="0.2">
      <c r="A29" s="73" t="str">
        <f>Source!E36</f>
        <v>7</v>
      </c>
      <c r="B29" s="74" t="str">
        <f>Source!G36</f>
        <v>Труба стальная по установленным конструкциям, в готовых бороздах, по основанию пола, диаметр до 100 мм</v>
      </c>
      <c r="C29" s="75" t="str">
        <f>Source!H36</f>
        <v>100 м</v>
      </c>
      <c r="D29" s="76">
        <f>Source!I36</f>
        <v>1</v>
      </c>
      <c r="E29" s="73"/>
    </row>
    <row r="30" spans="1:31" ht="14.25" x14ac:dyDescent="0.2">
      <c r="A30" s="73" t="str">
        <f>Source!E37</f>
        <v>7,1</v>
      </c>
      <c r="B30" s="74" t="str">
        <f>Source!G37</f>
        <v>Перемычки гибкие, тип ПГС-50</v>
      </c>
      <c r="C30" s="75" t="str">
        <f>Source!H37</f>
        <v>10 шт.</v>
      </c>
      <c r="D30" s="76">
        <f>Source!I37</f>
        <v>-0.6</v>
      </c>
      <c r="E30" s="73"/>
    </row>
    <row r="31" spans="1:31" ht="28.5" x14ac:dyDescent="0.2">
      <c r="A31" s="73" t="str">
        <f>Source!E38</f>
        <v>7,2</v>
      </c>
      <c r="B31" s="74" t="str">
        <f>Source!G38</f>
        <v>Трубы стальные сварные водогазопроводные с резьбой оцинкованные легкие, диаметр условного прохода 100 мм, толщина стенки 4 мм</v>
      </c>
      <c r="C31" s="75" t="str">
        <f>Source!H38</f>
        <v>м</v>
      </c>
      <c r="D31" s="76">
        <f>Source!I38</f>
        <v>100</v>
      </c>
      <c r="E31" s="73"/>
    </row>
    <row r="32" spans="1:31" ht="28.5" x14ac:dyDescent="0.2">
      <c r="A32" s="73" t="str">
        <f>Source!E39</f>
        <v>8</v>
      </c>
      <c r="B32" s="74" t="str">
        <f>Source!G39</f>
        <v>Подготовка почвы для устройства партерного и обыкновенного газона с внесением растительной земли слоем 15 см вручную</v>
      </c>
      <c r="C32" s="75" t="str">
        <f>Source!H39</f>
        <v>100 м2</v>
      </c>
      <c r="D32" s="76">
        <f>Source!I39</f>
        <v>16</v>
      </c>
      <c r="E32" s="73"/>
    </row>
    <row r="33" spans="1:5" ht="28.5" x14ac:dyDescent="0.2">
      <c r="A33" s="73" t="str">
        <f>Source!E40</f>
        <v>9</v>
      </c>
      <c r="B33" s="74" t="str">
        <f>Source!G40</f>
        <v>На каждые 5 см изменения толщины слоя добавлять или исключать к расценкам с 47-01-046-01 по 47-01-046-04</v>
      </c>
      <c r="C33" s="75" t="str">
        <f>Source!H40</f>
        <v>100 м2</v>
      </c>
      <c r="D33" s="76">
        <f>Source!I40</f>
        <v>-16</v>
      </c>
      <c r="E33" s="73"/>
    </row>
    <row r="34" spans="1:5" ht="14.25" x14ac:dyDescent="0.2">
      <c r="A34" s="73" t="str">
        <f>Source!E41</f>
        <v>10</v>
      </c>
      <c r="B34" s="74" t="str">
        <f>Source!G41</f>
        <v>Посев газонов партерных, мавританских и обыкновенных вручную</v>
      </c>
      <c r="C34" s="75" t="str">
        <f>Source!H41</f>
        <v>100 м2</v>
      </c>
      <c r="D34" s="76">
        <f>Source!I41</f>
        <v>16</v>
      </c>
      <c r="E34" s="73"/>
    </row>
    <row r="35" spans="1:5" ht="14.25" x14ac:dyDescent="0.2">
      <c r="A35" s="73" t="str">
        <f>Source!E42</f>
        <v>10,1</v>
      </c>
      <c r="B35" s="74" t="str">
        <f>Source!G42</f>
        <v>Семена газонных трав (смесь)</v>
      </c>
      <c r="C35" s="75" t="str">
        <f>Source!H42</f>
        <v>кг</v>
      </c>
      <c r="D35" s="76">
        <f>Source!I42</f>
        <v>32</v>
      </c>
      <c r="E35" s="73"/>
    </row>
    <row r="36" spans="1:5" ht="16.5" x14ac:dyDescent="0.25">
      <c r="A36" s="119" t="str">
        <f>CONCATENATE("Раздел: ", Source!G73)</f>
        <v>Раздел: Электромонтажные работы</v>
      </c>
      <c r="B36" s="119"/>
      <c r="C36" s="119"/>
      <c r="D36" s="119"/>
      <c r="E36" s="119"/>
    </row>
    <row r="37" spans="1:5" ht="14.25" x14ac:dyDescent="0.2">
      <c r="A37" s="73" t="str">
        <f>Source!E77</f>
        <v>11</v>
      </c>
      <c r="B37" s="74" t="str">
        <f>Source!G77</f>
        <v>Устройство постели при одном кабеле в траншее</v>
      </c>
      <c r="C37" s="75" t="str">
        <f>Source!H77</f>
        <v>100 М КАБЕЛЯ</v>
      </c>
      <c r="D37" s="76">
        <f>Source!I77</f>
        <v>9.58</v>
      </c>
      <c r="E37" s="73"/>
    </row>
    <row r="38" spans="1:5" ht="14.25" x14ac:dyDescent="0.2">
      <c r="A38" s="73" t="str">
        <f>Source!E78</f>
        <v>11,1</v>
      </c>
      <c r="B38" s="74" t="str">
        <f>Source!G78</f>
        <v>Песок природный для строительных работ средний</v>
      </c>
      <c r="C38" s="75" t="str">
        <f>Source!H78</f>
        <v>м3</v>
      </c>
      <c r="D38" s="76">
        <f>Source!I78</f>
        <v>114.96000000000001</v>
      </c>
      <c r="E38" s="73"/>
    </row>
    <row r="39" spans="1:5" ht="14.25" x14ac:dyDescent="0.2">
      <c r="A39" s="73" t="str">
        <f>Source!E79</f>
        <v>12</v>
      </c>
      <c r="B39" s="74" t="str">
        <f>Source!G79</f>
        <v>Кабель до 35 кВ в готовых траншеях без покрытий, масса 1 м до 6 кг</v>
      </c>
      <c r="C39" s="75" t="str">
        <f>Source!H79</f>
        <v>100 М КАБЕЛЯ</v>
      </c>
      <c r="D39" s="76">
        <f>Source!I79</f>
        <v>9.58</v>
      </c>
      <c r="E39" s="73"/>
    </row>
    <row r="40" spans="1:5" ht="28.5" x14ac:dyDescent="0.2">
      <c r="A40" s="73" t="str">
        <f>Source!E80</f>
        <v>13</v>
      </c>
      <c r="B40" s="74" t="str">
        <f>Source!G80</f>
        <v>Кабель до 35 кВ в проложенных трубах, блоках и коробах, масса 1 м кабеля до 6 кг</v>
      </c>
      <c r="C40" s="75" t="str">
        <f>Source!H80</f>
        <v>100 М КАБЕЛЯ</v>
      </c>
      <c r="D40" s="76">
        <f>Source!I80</f>
        <v>0.7</v>
      </c>
      <c r="E40" s="73"/>
    </row>
    <row r="41" spans="1:5" ht="28.5" x14ac:dyDescent="0.2">
      <c r="A41" s="73" t="str">
        <f>Source!E81</f>
        <v>14</v>
      </c>
      <c r="B41" s="74" t="str">
        <f>Source!G81</f>
        <v>Кабель до 35 кВ с креплением накладными скобами, масса 1 м кабеля до 6 кг ( на опоре)</v>
      </c>
      <c r="C41" s="75" t="str">
        <f>Source!H81</f>
        <v>100 М КАБЕЛЯ</v>
      </c>
      <c r="D41" s="76">
        <f>Source!I81</f>
        <v>0.12</v>
      </c>
      <c r="E41" s="73"/>
    </row>
    <row r="42" spans="1:5" ht="14.25" x14ac:dyDescent="0.2">
      <c r="A42" s="73" t="str">
        <f>Source!E82</f>
        <v>15</v>
      </c>
      <c r="B42" s="74" t="str">
        <f>Source!G82</f>
        <v>Кожух металлический для защиты вводов и электрооборудования</v>
      </c>
      <c r="C42" s="75" t="str">
        <f>Source!H82</f>
        <v>1 кг</v>
      </c>
      <c r="D42" s="76">
        <f>Source!I82</f>
        <v>75.5</v>
      </c>
      <c r="E42" s="73"/>
    </row>
    <row r="43" spans="1:5" ht="28.5" x14ac:dyDescent="0.2">
      <c r="A43" s="73" t="str">
        <f>Source!E83</f>
        <v>15,1</v>
      </c>
      <c r="B43" s="74" t="str">
        <f>Source!G83</f>
        <v>Сталь угловая равнополочная, марка стали ВСт3кп2, размером 100х100х10 мм</v>
      </c>
      <c r="C43" s="75" t="str">
        <f>Source!H83</f>
        <v>т</v>
      </c>
      <c r="D43" s="76">
        <f>Source!I83</f>
        <v>7.5499999999999998E-2</v>
      </c>
      <c r="E43" s="73"/>
    </row>
    <row r="44" spans="1:5" ht="28.5" x14ac:dyDescent="0.2">
      <c r="A44" s="73" t="str">
        <f>Source!E84</f>
        <v>16</v>
      </c>
      <c r="B44" s="74" t="str">
        <f>Source!G84</f>
        <v>Муфта концевая эпоксидная для 3-жильного кабеля напряжением до 10 кВ, сечение одной жилы до 120 мм2</v>
      </c>
      <c r="C44" s="75" t="str">
        <f>Source!H84</f>
        <v>1  ШТ.</v>
      </c>
      <c r="D44" s="76">
        <f>Source!I84</f>
        <v>2</v>
      </c>
      <c r="E44" s="73"/>
    </row>
    <row r="45" spans="1:5" ht="28.5" x14ac:dyDescent="0.2">
      <c r="A45" s="73" t="str">
        <f>Source!E85</f>
        <v>17</v>
      </c>
      <c r="B45" s="74" t="str">
        <f>Source!G85</f>
        <v>Присоединение к зажимам жил проводов или кабелей сечением до 240 мм2</v>
      </c>
      <c r="C45" s="75" t="str">
        <f>Source!H85</f>
        <v>100 шт.</v>
      </c>
      <c r="D45" s="76">
        <f>Source!I85</f>
        <v>0.06</v>
      </c>
      <c r="E45" s="73"/>
    </row>
    <row r="46" spans="1:5" ht="28.5" x14ac:dyDescent="0.2">
      <c r="A46" s="73" t="str">
        <f>Source!E86</f>
        <v>18</v>
      </c>
      <c r="B46" s="74" t="str">
        <f>Source!G86</f>
        <v>Проводник заземляющий из медного изолированного провода сечением 25 мм2 открыто по строительным основаниям</v>
      </c>
      <c r="C46" s="75" t="str">
        <f>Source!H86</f>
        <v>100 м</v>
      </c>
      <c r="D46" s="76">
        <f>Source!I86</f>
        <v>0.02</v>
      </c>
      <c r="E46" s="73"/>
    </row>
    <row r="47" spans="1:5" ht="14.25" x14ac:dyDescent="0.2">
      <c r="A47" s="73" t="str">
        <f>Source!E87</f>
        <v>18,1</v>
      </c>
      <c r="B47" s="74" t="str">
        <f>Source!G87</f>
        <v>Провод неизолированный гибкий МГ 25 мм2</v>
      </c>
      <c r="C47" s="75" t="str">
        <f>Source!H87</f>
        <v>1000 м</v>
      </c>
      <c r="D47" s="76">
        <f>Source!I87</f>
        <v>2E-3</v>
      </c>
      <c r="E47" s="73"/>
    </row>
    <row r="48" spans="1:5" ht="28.5" x14ac:dyDescent="0.2">
      <c r="A48" s="73" t="str">
        <f>Source!E88</f>
        <v>19</v>
      </c>
      <c r="B48" s="74" t="str">
        <f>Source!G88</f>
        <v>Муфта соединительная эпоксидная для 3-4-жильного кабеля напряжением до 10 кВ, сечение жил до 120 мм2</v>
      </c>
      <c r="C48" s="75" t="str">
        <f>Source!H88</f>
        <v>1  ШТ.</v>
      </c>
      <c r="D48" s="76">
        <f>Source!I88</f>
        <v>3</v>
      </c>
      <c r="E48" s="73"/>
    </row>
    <row r="49" spans="1:5" ht="14.25" x14ac:dyDescent="0.2">
      <c r="A49" s="73" t="str">
        <f>Source!E89</f>
        <v>19,1</v>
      </c>
      <c r="B49" s="74" t="str">
        <f>Source!G89</f>
        <v>Гильза кабельная медная ГМ 120</v>
      </c>
      <c r="C49" s="75" t="str">
        <f>Source!H89</f>
        <v>100 шт.</v>
      </c>
      <c r="D49" s="76">
        <f>Source!I89</f>
        <v>-9.2999999999999999E-2</v>
      </c>
      <c r="E49" s="73"/>
    </row>
    <row r="50" spans="1:5" ht="42.75" x14ac:dyDescent="0.2">
      <c r="A50" s="73" t="str">
        <f>Source!E90</f>
        <v>20</v>
      </c>
      <c r="B50" s="74" t="str">
        <f>Source!G90</f>
        <v>Покрытие кабеля плитами из полимернаполненных материалов, расположенными вдоль кабельной линии, размером 48х24</v>
      </c>
      <c r="C50" s="75" t="str">
        <f>Source!H90</f>
        <v>100 м кабельной линии</v>
      </c>
      <c r="D50" s="76">
        <f>Source!I90</f>
        <v>9.58</v>
      </c>
      <c r="E50" s="73"/>
    </row>
    <row r="51" spans="1:5" ht="16.5" x14ac:dyDescent="0.25">
      <c r="A51" s="119" t="str">
        <f>CONCATENATE("Раздел: ", Source!G121)</f>
        <v>Раздел: Пусконаладочные работы</v>
      </c>
      <c r="B51" s="119"/>
      <c r="C51" s="119"/>
      <c r="D51" s="119"/>
      <c r="E51" s="119"/>
    </row>
    <row r="52" spans="1:5" ht="14.25" x14ac:dyDescent="0.2">
      <c r="A52" s="73" t="str">
        <f>Source!E125</f>
        <v>21</v>
      </c>
      <c r="B52" s="74" t="str">
        <f>Source!G125</f>
        <v>Испытание кабеля силового длиной до 500 м напряжением до 10 кВ</v>
      </c>
      <c r="C52" s="75" t="str">
        <f>Source!H125</f>
        <v>1 испытание</v>
      </c>
      <c r="D52" s="76">
        <f>Source!I125</f>
        <v>3</v>
      </c>
      <c r="E52" s="73"/>
    </row>
    <row r="53" spans="1:5" ht="28.5" x14ac:dyDescent="0.2">
      <c r="A53" s="73" t="str">
        <f>Source!E126</f>
        <v>22</v>
      </c>
      <c r="B53" s="74" t="str">
        <f>Source!G126</f>
        <v>Фазировка электрической линии или трансформатора с сетью напряжением свыше 1 кВ</v>
      </c>
      <c r="C53" s="75" t="str">
        <f>Source!H126</f>
        <v>1 фазировка</v>
      </c>
      <c r="D53" s="76">
        <f>Source!I126</f>
        <v>3</v>
      </c>
      <c r="E53" s="73"/>
    </row>
    <row r="54" spans="1:5" ht="16.5" x14ac:dyDescent="0.25">
      <c r="A54" s="119" t="str">
        <f>CONCATENATE("Раздел: ", Source!G157)</f>
        <v>Раздел: Материалы Заказчика</v>
      </c>
      <c r="B54" s="119"/>
      <c r="C54" s="119"/>
      <c r="D54" s="119"/>
      <c r="E54" s="119"/>
    </row>
    <row r="55" spans="1:5" ht="14.25" x14ac:dyDescent="0.2">
      <c r="A55" s="73" t="str">
        <f>Source!E161</f>
        <v>23</v>
      </c>
      <c r="B55" s="74" t="str">
        <f>Source!G161</f>
        <v>Кабель АПвБП 3х95/16-10</v>
      </c>
      <c r="C55" s="75" t="str">
        <f>Source!H161</f>
        <v>м</v>
      </c>
      <c r="D55" s="76">
        <f>Source!I161</f>
        <v>1040</v>
      </c>
      <c r="E55" s="73"/>
    </row>
    <row r="56" spans="1:5" ht="16.5" x14ac:dyDescent="0.25">
      <c r="A56" s="119" t="str">
        <f>CONCATENATE("Раздел: ", Source!G192)</f>
        <v>Раздел: Материалы не учтенные ценником</v>
      </c>
      <c r="B56" s="119"/>
      <c r="C56" s="119"/>
      <c r="D56" s="119"/>
      <c r="E56" s="119"/>
    </row>
    <row r="57" spans="1:5" ht="14.25" x14ac:dyDescent="0.2">
      <c r="A57" s="73" t="str">
        <f>Source!E196</f>
        <v>24</v>
      </c>
      <c r="B57" s="74" t="str">
        <f>Source!G196</f>
        <v>Муфта соединительная  СТП-10 70/120</v>
      </c>
      <c r="C57" s="75" t="str">
        <f>Source!H196</f>
        <v>ШТ</v>
      </c>
      <c r="D57" s="76">
        <f>Source!I196</f>
        <v>3</v>
      </c>
      <c r="E57" s="73"/>
    </row>
    <row r="58" spans="1:5" ht="14.25" x14ac:dyDescent="0.2">
      <c r="A58" s="69" t="str">
        <f>Source!E197</f>
        <v>25</v>
      </c>
      <c r="B58" s="70" t="str">
        <f>Source!G197</f>
        <v>Муфта концевая КНтП-10 70/120</v>
      </c>
      <c r="C58" s="71" t="str">
        <f>Source!H197</f>
        <v>ШТ</v>
      </c>
      <c r="D58" s="72">
        <f>Source!I197</f>
        <v>2</v>
      </c>
      <c r="E58" s="69"/>
    </row>
    <row r="61" spans="1:5" ht="15" x14ac:dyDescent="0.25">
      <c r="A61" s="29" t="s">
        <v>605</v>
      </c>
      <c r="B61" s="29"/>
      <c r="C61" s="29" t="s">
        <v>606</v>
      </c>
      <c r="D61" s="29"/>
      <c r="E61" s="29"/>
    </row>
  </sheetData>
  <mergeCells count="10">
    <mergeCell ref="A36:E36"/>
    <mergeCell ref="A51:E51"/>
    <mergeCell ref="A54:E54"/>
    <mergeCell ref="A56:E56"/>
    <mergeCell ref="C5:D5"/>
    <mergeCell ref="C7:D7"/>
    <mergeCell ref="A11:D11"/>
    <mergeCell ref="A12:D12"/>
    <mergeCell ref="A19:E19"/>
    <mergeCell ref="A20:E20"/>
  </mergeCells>
  <pageMargins left="0.4" right="0.2" top="0.4" bottom="0.4" header="0.2" footer="0.2"/>
  <pageSetup paperSize="9" scale="77" fitToHeight="0" orientation="portrait" r:id="rId1"/>
  <headerFooter>
    <oddHeader>&amp;L&amp;8.  Доп. раб. место  FStS-0041017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Normal="100" workbookViewId="0"/>
  </sheetViews>
  <sheetFormatPr defaultRowHeight="12.75" x14ac:dyDescent="0.2"/>
  <cols>
    <col min="1" max="1" width="6.7109375" customWidth="1"/>
    <col min="2" max="2" width="75.7109375" customWidth="1"/>
    <col min="3" max="5" width="15.7109375" customWidth="1"/>
    <col min="31" max="31" width="129.7109375" customWidth="1"/>
  </cols>
  <sheetData>
    <row r="1" spans="1:5" x14ac:dyDescent="0.2">
      <c r="A1" s="9" t="str">
        <f>Source!B1</f>
        <v>Smeta.RU  (495) 974-1589</v>
      </c>
    </row>
    <row r="2" spans="1:5" ht="14.25" x14ac:dyDescent="0.2">
      <c r="C2" s="11"/>
      <c r="D2" s="11"/>
    </row>
    <row r="3" spans="1:5" ht="15" x14ac:dyDescent="0.25">
      <c r="C3" s="11"/>
      <c r="D3" s="62" t="s">
        <v>494</v>
      </c>
    </row>
    <row r="4" spans="1:5" ht="15" x14ac:dyDescent="0.25">
      <c r="C4" s="62"/>
      <c r="D4" s="62"/>
    </row>
    <row r="5" spans="1:5" ht="15" x14ac:dyDescent="0.25">
      <c r="C5" s="120" t="s">
        <v>597</v>
      </c>
      <c r="D5" s="120"/>
    </row>
    <row r="6" spans="1:5" ht="15" x14ac:dyDescent="0.25">
      <c r="C6" s="63"/>
      <c r="D6" s="63"/>
    </row>
    <row r="7" spans="1:5" ht="15" x14ac:dyDescent="0.25">
      <c r="C7" s="120" t="s">
        <v>597</v>
      </c>
      <c r="D7" s="120"/>
    </row>
    <row r="8" spans="1:5" ht="15" x14ac:dyDescent="0.25">
      <c r="C8" s="63"/>
      <c r="D8" s="63"/>
    </row>
    <row r="9" spans="1:5" ht="15" x14ac:dyDescent="0.25">
      <c r="C9" s="62" t="s">
        <v>598</v>
      </c>
      <c r="D9" s="11"/>
    </row>
    <row r="10" spans="1:5" ht="14.25" x14ac:dyDescent="0.2">
      <c r="A10" s="11"/>
      <c r="B10" s="11"/>
      <c r="C10" s="11"/>
      <c r="D10" s="11"/>
      <c r="E10" s="11"/>
    </row>
    <row r="11" spans="1:5" ht="15.75" x14ac:dyDescent="0.25">
      <c r="A11" s="121" t="str">
        <f>CONCATENATE("Ведомость объемов работ ", IF(Source!AN15&lt;&gt;"", Source!AN15," "))</f>
        <v xml:space="preserve">Ведомость объемов работ  </v>
      </c>
      <c r="B11" s="121"/>
      <c r="C11" s="121"/>
      <c r="D11" s="121"/>
      <c r="E11" s="11"/>
    </row>
    <row r="12" spans="1:5" ht="15" x14ac:dyDescent="0.25">
      <c r="A12" s="122" t="str">
        <f>CONCATENATE("На капитальный ремонт ", Source!F12)</f>
        <v>На капитальный ремонт 1</v>
      </c>
      <c r="B12" s="122"/>
      <c r="C12" s="122"/>
      <c r="D12" s="122"/>
      <c r="E12" s="11"/>
    </row>
    <row r="13" spans="1:5" ht="14.25" x14ac:dyDescent="0.2">
      <c r="A13" s="11"/>
      <c r="B13" s="11"/>
      <c r="C13" s="11"/>
      <c r="D13" s="11"/>
      <c r="E13" s="11"/>
    </row>
    <row r="14" spans="1:5" ht="15" x14ac:dyDescent="0.2">
      <c r="A14" s="11"/>
      <c r="B14" s="64" t="s">
        <v>599</v>
      </c>
      <c r="C14" s="11"/>
      <c r="D14" s="11"/>
      <c r="E14" s="11"/>
    </row>
    <row r="15" spans="1:5" ht="15" x14ac:dyDescent="0.2">
      <c r="A15" s="11"/>
      <c r="B15" s="64" t="s">
        <v>600</v>
      </c>
      <c r="C15" s="11"/>
      <c r="D15" s="11"/>
      <c r="E15" s="11"/>
    </row>
    <row r="16" spans="1:5" ht="15" x14ac:dyDescent="0.2">
      <c r="A16" s="11"/>
      <c r="B16" s="64" t="s">
        <v>601</v>
      </c>
      <c r="C16" s="11"/>
      <c r="D16" s="11"/>
      <c r="E16" s="11"/>
    </row>
    <row r="17" spans="1:31" ht="28.5" x14ac:dyDescent="0.2">
      <c r="A17" s="23" t="s">
        <v>511</v>
      </c>
      <c r="B17" s="23" t="s">
        <v>513</v>
      </c>
      <c r="C17" s="23" t="s">
        <v>602</v>
      </c>
      <c r="D17" s="23" t="s">
        <v>603</v>
      </c>
      <c r="E17" s="65" t="s">
        <v>604</v>
      </c>
    </row>
    <row r="18" spans="1:31" ht="14.25" x14ac:dyDescent="0.2">
      <c r="A18" s="67">
        <v>1</v>
      </c>
      <c r="B18" s="67">
        <v>2</v>
      </c>
      <c r="C18" s="67">
        <v>3</v>
      </c>
      <c r="D18" s="67">
        <v>4</v>
      </c>
      <c r="E18" s="68">
        <v>5</v>
      </c>
    </row>
    <row r="19" spans="1:31" ht="33" x14ac:dyDescent="0.25">
      <c r="A19" s="119" t="str">
        <f>CONCATENATE("Локальная смета: ", Source!G20)</f>
        <v>Локальная смета: Существующая электрическая сеть 6 кВ по территории СНТ " Фарфорист" и СНТ " Дружба"</v>
      </c>
      <c r="B19" s="119"/>
      <c r="C19" s="119"/>
      <c r="D19" s="119"/>
      <c r="E19" s="119"/>
      <c r="AE19" s="66" t="str">
        <f>CONCATENATE("Локальная смета: ", Source!G20)</f>
        <v>Локальная смета: Существующая электрическая сеть 6 кВ по территории СНТ " Фарфорист" и СНТ " Дружба"</v>
      </c>
    </row>
    <row r="20" spans="1:31" ht="16.5" x14ac:dyDescent="0.25">
      <c r="A20" s="119" t="str">
        <f>CONCATENATE("Раздел: ", Source!G24)</f>
        <v>Раздел: Ремонтные работы</v>
      </c>
      <c r="B20" s="119"/>
      <c r="C20" s="119"/>
      <c r="D20" s="119"/>
      <c r="E20" s="119"/>
    </row>
    <row r="21" spans="1:31" ht="28.5" x14ac:dyDescent="0.2">
      <c r="A21" s="73">
        <v>1</v>
      </c>
      <c r="B21" s="74" t="str">
        <f>Source!G28</f>
        <v>Разработка грунта вручную в траншеях глубиной до 2 м без креплений с откосами, группа грунтов 2</v>
      </c>
      <c r="C21" s="75" t="str">
        <f>Source!H28</f>
        <v>100 м3 грунта</v>
      </c>
      <c r="D21" s="76">
        <f>Source!I28</f>
        <v>3.6720000000000002</v>
      </c>
      <c r="E21" s="73"/>
    </row>
    <row r="22" spans="1:31" ht="14.25" x14ac:dyDescent="0.2">
      <c r="A22" s="73">
        <v>2</v>
      </c>
      <c r="B22" s="74" t="str">
        <f>Source!G29</f>
        <v>Засыпка вручную траншей, пазух котлованов и ям, группа грунтов 1</v>
      </c>
      <c r="C22" s="75" t="str">
        <f>Source!H29</f>
        <v>100 м3 грунта</v>
      </c>
      <c r="D22" s="76">
        <f>Source!I29</f>
        <v>2.5224000000000002</v>
      </c>
      <c r="E22" s="73"/>
    </row>
    <row r="23" spans="1:31" ht="28.5" x14ac:dyDescent="0.2">
      <c r="A23" s="73">
        <v>3</v>
      </c>
      <c r="B23" s="74" t="str">
        <f>Source!G30</f>
        <v>Погрузка при автомобильных перевозках грунта растительного слоя (земля, перегной)</v>
      </c>
      <c r="C23" s="75" t="str">
        <f>Source!H30</f>
        <v>1 Т ГРУЗА</v>
      </c>
      <c r="D23" s="76">
        <f>Source!I30</f>
        <v>201.18</v>
      </c>
      <c r="E23" s="73"/>
    </row>
    <row r="24" spans="1:31" ht="42.75" x14ac:dyDescent="0.2">
      <c r="A24" s="73">
        <v>4</v>
      </c>
      <c r="B24" s="74" t="str">
        <f>Source!G31</f>
        <v>Перевозка грузов I класса автомобилями-самосвалами грузоподъемностью 10 т работающих вне карьера на расстояние до 25 км</v>
      </c>
      <c r="C24" s="75" t="str">
        <f>Source!H31</f>
        <v>1 Т ГРУЗА</v>
      </c>
      <c r="D24" s="76">
        <f>Source!I31</f>
        <v>201.18</v>
      </c>
      <c r="E24" s="73"/>
    </row>
    <row r="25" spans="1:31" ht="42.75" x14ac:dyDescent="0.2">
      <c r="A25" s="73">
        <v>5</v>
      </c>
      <c r="B25" s="74" t="str">
        <f>Source!G32</f>
        <v>Устройство трубопроводов из хризотилцементных труб с соединением полиэтиленовыми муфтами до 2 отверстий</v>
      </c>
      <c r="C25" s="75" t="str">
        <f>Source!H32</f>
        <v>1 канало-километр трубопровода</v>
      </c>
      <c r="D25" s="76">
        <f>Source!I32</f>
        <v>0.06</v>
      </c>
      <c r="E25" s="73"/>
    </row>
    <row r="26" spans="1:31" ht="14.25" x14ac:dyDescent="0.2">
      <c r="A26" s="73">
        <v>6</v>
      </c>
      <c r="B26" s="74" t="str">
        <f>Source!G33</f>
        <v>Герметизация канала кабельной канализации занятого</v>
      </c>
      <c r="C26" s="75" t="str">
        <f>Source!H33</f>
        <v>1 канал</v>
      </c>
      <c r="D26" s="76">
        <f>Source!I33</f>
        <v>10</v>
      </c>
      <c r="E26" s="73"/>
    </row>
    <row r="27" spans="1:31" ht="28.5" x14ac:dyDescent="0.2">
      <c r="A27" s="73">
        <v>7</v>
      </c>
      <c r="B27" s="74" t="str">
        <f>Source!G36</f>
        <v>Труба стальная по установленным конструкциям, в готовых бороздах, по основанию пола, диаметр до 100 мм</v>
      </c>
      <c r="C27" s="75" t="str">
        <f>Source!H36</f>
        <v>100 м</v>
      </c>
      <c r="D27" s="76">
        <f>Source!I36</f>
        <v>1</v>
      </c>
      <c r="E27" s="73"/>
    </row>
    <row r="28" spans="1:31" ht="28.5" x14ac:dyDescent="0.2">
      <c r="A28" s="73">
        <v>8</v>
      </c>
      <c r="B28" s="74" t="str">
        <f>Source!G39</f>
        <v>Подготовка почвы для устройства партерного и обыкновенного газона с внесением растительной земли слоем 15 см вручную</v>
      </c>
      <c r="C28" s="75" t="str">
        <f>Source!H39</f>
        <v>100 м2</v>
      </c>
      <c r="D28" s="76">
        <f>Source!I39</f>
        <v>16</v>
      </c>
      <c r="E28" s="73"/>
    </row>
    <row r="29" spans="1:31" ht="28.5" x14ac:dyDescent="0.2">
      <c r="A29" s="73">
        <v>9</v>
      </c>
      <c r="B29" s="74" t="str">
        <f>Source!G40</f>
        <v>На каждые 5 см изменения толщины слоя добавлять или исключать к расценкам с 47-01-046-01 по 47-01-046-04</v>
      </c>
      <c r="C29" s="75" t="str">
        <f>Source!H40</f>
        <v>100 м2</v>
      </c>
      <c r="D29" s="76">
        <f>Source!I40</f>
        <v>-16</v>
      </c>
      <c r="E29" s="73"/>
    </row>
    <row r="30" spans="1:31" ht="14.25" x14ac:dyDescent="0.2">
      <c r="A30" s="73">
        <v>10</v>
      </c>
      <c r="B30" s="74" t="str">
        <f>Source!G41</f>
        <v>Посев газонов партерных, мавританских и обыкновенных вручную</v>
      </c>
      <c r="C30" s="75" t="str">
        <f>Source!H41</f>
        <v>100 м2</v>
      </c>
      <c r="D30" s="76">
        <f>Source!I41</f>
        <v>16</v>
      </c>
      <c r="E30" s="73"/>
    </row>
    <row r="31" spans="1:31" ht="16.5" x14ac:dyDescent="0.25">
      <c r="A31" s="119" t="str">
        <f>CONCATENATE("Раздел: ", Source!G73)</f>
        <v>Раздел: Электромонтажные работы</v>
      </c>
      <c r="B31" s="119"/>
      <c r="C31" s="119"/>
      <c r="D31" s="119"/>
      <c r="E31" s="119"/>
    </row>
    <row r="32" spans="1:31" ht="14.25" x14ac:dyDescent="0.2">
      <c r="A32" s="73">
        <v>11</v>
      </c>
      <c r="B32" s="74" t="str">
        <f>Source!G77</f>
        <v>Устройство постели при одном кабеле в траншее</v>
      </c>
      <c r="C32" s="75" t="str">
        <f>Source!H77</f>
        <v>100 М КАБЕЛЯ</v>
      </c>
      <c r="D32" s="76">
        <f>Source!I77</f>
        <v>9.58</v>
      </c>
      <c r="E32" s="73"/>
    </row>
    <row r="33" spans="1:5" ht="14.25" x14ac:dyDescent="0.2">
      <c r="A33" s="73">
        <v>12</v>
      </c>
      <c r="B33" s="74" t="str">
        <f>Source!G79</f>
        <v>Кабель до 35 кВ в готовых траншеях без покрытий, масса 1 м до 6 кг</v>
      </c>
      <c r="C33" s="75" t="str">
        <f>Source!H79</f>
        <v>100 М КАБЕЛЯ</v>
      </c>
      <c r="D33" s="76">
        <f>Source!I79</f>
        <v>9.58</v>
      </c>
      <c r="E33" s="73"/>
    </row>
    <row r="34" spans="1:5" ht="28.5" x14ac:dyDescent="0.2">
      <c r="A34" s="73">
        <v>13</v>
      </c>
      <c r="B34" s="74" t="str">
        <f>Source!G80</f>
        <v>Кабель до 35 кВ в проложенных трубах, блоках и коробах, масса 1 м кабеля до 6 кг</v>
      </c>
      <c r="C34" s="75" t="str">
        <f>Source!H80</f>
        <v>100 М КАБЕЛЯ</v>
      </c>
      <c r="D34" s="76">
        <f>Source!I80</f>
        <v>0.7</v>
      </c>
      <c r="E34" s="73"/>
    </row>
    <row r="35" spans="1:5" ht="28.5" x14ac:dyDescent="0.2">
      <c r="A35" s="73">
        <v>14</v>
      </c>
      <c r="B35" s="74" t="str">
        <f>Source!G81</f>
        <v>Кабель до 35 кВ с креплением накладными скобами, масса 1 м кабеля до 6 кг ( на опоре)</v>
      </c>
      <c r="C35" s="75" t="str">
        <f>Source!H81</f>
        <v>100 М КАБЕЛЯ</v>
      </c>
      <c r="D35" s="76">
        <f>Source!I81</f>
        <v>0.12</v>
      </c>
      <c r="E35" s="73"/>
    </row>
    <row r="36" spans="1:5" ht="14.25" x14ac:dyDescent="0.2">
      <c r="A36" s="73">
        <v>15</v>
      </c>
      <c r="B36" s="74" t="str">
        <f>Source!G82</f>
        <v>Кожух металлический для защиты вводов и электрооборудования</v>
      </c>
      <c r="C36" s="75" t="str">
        <f>Source!H82</f>
        <v>1 кг</v>
      </c>
      <c r="D36" s="76">
        <f>Source!I82</f>
        <v>75.5</v>
      </c>
      <c r="E36" s="73"/>
    </row>
    <row r="37" spans="1:5" ht="28.5" x14ac:dyDescent="0.2">
      <c r="A37" s="73">
        <v>16</v>
      </c>
      <c r="B37" s="74" t="str">
        <f>Source!G84</f>
        <v>Муфта концевая эпоксидная для 3-жильного кабеля напряжением до 10 кВ, сечение одной жилы до 120 мм2</v>
      </c>
      <c r="C37" s="75" t="str">
        <f>Source!H84</f>
        <v>1  ШТ.</v>
      </c>
      <c r="D37" s="76">
        <f>Source!I84</f>
        <v>2</v>
      </c>
      <c r="E37" s="73"/>
    </row>
    <row r="38" spans="1:5" ht="28.5" x14ac:dyDescent="0.2">
      <c r="A38" s="73">
        <v>17</v>
      </c>
      <c r="B38" s="74" t="str">
        <f>Source!G85</f>
        <v>Присоединение к зажимам жил проводов или кабелей сечением до 240 мм2</v>
      </c>
      <c r="C38" s="75" t="str">
        <f>Source!H85</f>
        <v>100 шт.</v>
      </c>
      <c r="D38" s="76">
        <f>Source!I85</f>
        <v>0.06</v>
      </c>
      <c r="E38" s="73"/>
    </row>
    <row r="39" spans="1:5" ht="28.5" x14ac:dyDescent="0.2">
      <c r="A39" s="73">
        <v>18</v>
      </c>
      <c r="B39" s="74" t="str">
        <f>Source!G86</f>
        <v>Проводник заземляющий из медного изолированного провода сечением 25 мм2 открыто по строительным основаниям</v>
      </c>
      <c r="C39" s="75" t="str">
        <f>Source!H86</f>
        <v>100 м</v>
      </c>
      <c r="D39" s="76">
        <f>Source!I86</f>
        <v>0.02</v>
      </c>
      <c r="E39" s="73"/>
    </row>
    <row r="40" spans="1:5" ht="28.5" x14ac:dyDescent="0.2">
      <c r="A40" s="73">
        <v>19</v>
      </c>
      <c r="B40" s="74" t="str">
        <f>Source!G88</f>
        <v>Муфта соединительная эпоксидная для 3-4-жильного кабеля напряжением до 10 кВ, сечение жил до 120 мм2</v>
      </c>
      <c r="C40" s="75" t="str">
        <f>Source!H88</f>
        <v>1  ШТ.</v>
      </c>
      <c r="D40" s="76">
        <f>Source!I88</f>
        <v>3</v>
      </c>
      <c r="E40" s="73"/>
    </row>
    <row r="41" spans="1:5" ht="42.75" x14ac:dyDescent="0.2">
      <c r="A41" s="73">
        <v>20</v>
      </c>
      <c r="B41" s="74" t="str">
        <f>Source!G90</f>
        <v>Покрытие кабеля плитами из полимернаполненных материалов, расположенными вдоль кабельной линии, размером 48х24</v>
      </c>
      <c r="C41" s="75" t="str">
        <f>Source!H90</f>
        <v>100 м кабельной линии</v>
      </c>
      <c r="D41" s="76">
        <f>Source!I90</f>
        <v>9.58</v>
      </c>
      <c r="E41" s="73"/>
    </row>
    <row r="42" spans="1:5" ht="16.5" x14ac:dyDescent="0.25">
      <c r="A42" s="119" t="str">
        <f>CONCATENATE("Раздел: ", Source!G121)</f>
        <v>Раздел: Пусконаладочные работы</v>
      </c>
      <c r="B42" s="119"/>
      <c r="C42" s="119"/>
      <c r="D42" s="119"/>
      <c r="E42" s="119"/>
    </row>
    <row r="43" spans="1:5" ht="14.25" x14ac:dyDescent="0.2">
      <c r="A43" s="73">
        <v>21</v>
      </c>
      <c r="B43" s="74" t="str">
        <f>Source!G125</f>
        <v>Испытание кабеля силового длиной до 500 м напряжением до 10 кВ</v>
      </c>
      <c r="C43" s="75" t="str">
        <f>Source!H125</f>
        <v>1 испытание</v>
      </c>
      <c r="D43" s="76">
        <f>Source!I125</f>
        <v>3</v>
      </c>
      <c r="E43" s="73"/>
    </row>
    <row r="44" spans="1:5" ht="28.5" x14ac:dyDescent="0.2">
      <c r="A44" s="73">
        <v>22</v>
      </c>
      <c r="B44" s="74" t="str">
        <f>Source!G126</f>
        <v>Фазировка электрической линии или трансформатора с сетью напряжением свыше 1 кВ</v>
      </c>
      <c r="C44" s="75" t="str">
        <f>Source!H126</f>
        <v>1 фазировка</v>
      </c>
      <c r="D44" s="76">
        <f>Source!I126</f>
        <v>3</v>
      </c>
      <c r="E44" s="73"/>
    </row>
    <row r="45" spans="1:5" ht="16.5" x14ac:dyDescent="0.25">
      <c r="A45" s="119" t="str">
        <f>CONCATENATE("Раздел: ", Source!G157)</f>
        <v>Раздел: Материалы Заказчика</v>
      </c>
      <c r="B45" s="119"/>
      <c r="C45" s="119"/>
      <c r="D45" s="119"/>
      <c r="E45" s="119"/>
    </row>
    <row r="46" spans="1:5" ht="16.5" x14ac:dyDescent="0.25">
      <c r="A46" s="123" t="str">
        <f>CONCATENATE("Раздел: ", Source!G192)</f>
        <v>Раздел: Материалы не учтенные ценником</v>
      </c>
      <c r="B46" s="123"/>
      <c r="C46" s="123"/>
      <c r="D46" s="123"/>
      <c r="E46" s="123"/>
    </row>
    <row r="49" spans="1:5" ht="15" x14ac:dyDescent="0.25">
      <c r="A49" s="29" t="s">
        <v>605</v>
      </c>
      <c r="B49" s="29"/>
      <c r="C49" s="29" t="s">
        <v>606</v>
      </c>
      <c r="D49" s="29"/>
      <c r="E49" s="29"/>
    </row>
  </sheetData>
  <mergeCells count="10">
    <mergeCell ref="A31:E31"/>
    <mergeCell ref="A42:E42"/>
    <mergeCell ref="A45:E45"/>
    <mergeCell ref="A46:E46"/>
    <mergeCell ref="C5:D5"/>
    <mergeCell ref="C7:D7"/>
    <mergeCell ref="A11:D11"/>
    <mergeCell ref="A12:D12"/>
    <mergeCell ref="A19:E19"/>
    <mergeCell ref="A20:E20"/>
  </mergeCells>
  <pageMargins left="0.4" right="0.2" top="0.4" bottom="0.4" header="0.2" footer="0.2"/>
  <pageSetup paperSize="9" scale="77" fitToHeight="0" orientation="portrait" r:id="rId1"/>
  <headerFooter>
    <oddHeader>&amp;L&amp;8.  Доп. раб. место  FStS-0041017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workbookViewId="0"/>
  </sheetViews>
  <sheetFormatPr defaultRowHeight="12.75" x14ac:dyDescent="0.2"/>
  <sheetData>
    <row r="1" spans="1:23" x14ac:dyDescent="0.2">
      <c r="A1" t="s">
        <v>630</v>
      </c>
      <c r="B1" t="s">
        <v>631</v>
      </c>
      <c r="C1" t="s">
        <v>632</v>
      </c>
      <c r="D1" t="s">
        <v>633</v>
      </c>
      <c r="E1" t="s">
        <v>634</v>
      </c>
      <c r="F1" t="s">
        <v>635</v>
      </c>
      <c r="G1" t="s">
        <v>636</v>
      </c>
      <c r="H1" t="s">
        <v>637</v>
      </c>
      <c r="I1" t="s">
        <v>638</v>
      </c>
      <c r="J1" t="s">
        <v>639</v>
      </c>
    </row>
    <row r="2" spans="1:23" x14ac:dyDescent="0.2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</row>
    <row r="4" spans="1:23" x14ac:dyDescent="0.2">
      <c r="A4" t="s">
        <v>607</v>
      </c>
      <c r="B4" t="s">
        <v>608</v>
      </c>
      <c r="C4" t="s">
        <v>609</v>
      </c>
      <c r="D4" t="s">
        <v>610</v>
      </c>
      <c r="E4" t="s">
        <v>611</v>
      </c>
      <c r="F4" t="s">
        <v>612</v>
      </c>
      <c r="G4" t="s">
        <v>613</v>
      </c>
      <c r="H4" t="s">
        <v>614</v>
      </c>
      <c r="I4" t="s">
        <v>615</v>
      </c>
      <c r="J4" t="s">
        <v>616</v>
      </c>
      <c r="K4" t="s">
        <v>617</v>
      </c>
      <c r="L4" t="s">
        <v>618</v>
      </c>
      <c r="M4" t="s">
        <v>619</v>
      </c>
      <c r="N4" t="s">
        <v>620</v>
      </c>
      <c r="O4" t="s">
        <v>621</v>
      </c>
      <c r="P4" t="s">
        <v>622</v>
      </c>
      <c r="Q4" t="s">
        <v>623</v>
      </c>
      <c r="R4" t="s">
        <v>624</v>
      </c>
      <c r="S4" t="s">
        <v>625</v>
      </c>
      <c r="T4" t="s">
        <v>626</v>
      </c>
      <c r="U4" t="s">
        <v>627</v>
      </c>
      <c r="V4" t="s">
        <v>628</v>
      </c>
      <c r="W4" t="s">
        <v>629</v>
      </c>
    </row>
    <row r="6" spans="1:23" x14ac:dyDescent="0.2">
      <c r="A6">
        <f>Source!A20</f>
        <v>3</v>
      </c>
      <c r="B6">
        <v>20</v>
      </c>
      <c r="G6" t="str">
        <f>Source!G20</f>
        <v>Существующая электрическая сеть 6 кВ по территории СНТ " Фарфорист" и СНТ " Дружба"</v>
      </c>
    </row>
    <row r="7" spans="1:23" x14ac:dyDescent="0.2">
      <c r="A7">
        <f>Source!A24</f>
        <v>4</v>
      </c>
      <c r="B7">
        <v>24</v>
      </c>
      <c r="G7" t="str">
        <f>Source!G24</f>
        <v>Ремонтные работы</v>
      </c>
    </row>
    <row r="8" spans="1:23" x14ac:dyDescent="0.2">
      <c r="A8">
        <f>Source!A32</f>
        <v>17</v>
      </c>
      <c r="C8">
        <v>3</v>
      </c>
      <c r="D8">
        <v>0</v>
      </c>
      <c r="E8">
        <f>SmtRes!AV10</f>
        <v>0</v>
      </c>
      <c r="F8" t="str">
        <f>SmtRes!I10</f>
        <v>509-0818</v>
      </c>
      <c r="G8" t="str">
        <f>SmtRes!K10</f>
        <v>Пробки кабельные полиэтиленовые ПКП-1 для труб 100 мм</v>
      </c>
      <c r="H8" t="str">
        <f>SmtRes!O10</f>
        <v>100 шт.</v>
      </c>
      <c r="I8">
        <f>SmtRes!Y10*Source!I32</f>
        <v>1.2E-2</v>
      </c>
      <c r="J8">
        <f>SmtRes!AO10</f>
        <v>1</v>
      </c>
      <c r="K8">
        <f>SmtRes!AE10</f>
        <v>400</v>
      </c>
      <c r="L8">
        <f>SmtRes!DB10</f>
        <v>80</v>
      </c>
      <c r="M8">
        <f>ROUND(ROUND(L8*Source!I32, 2)*1, 2)</f>
        <v>4.8</v>
      </c>
      <c r="N8">
        <f>SmtRes!AA10</f>
        <v>1840</v>
      </c>
      <c r="O8">
        <f>ROUND(ROUND(L8*Source!I32, 2)*SmtRes!DA10, 2)</f>
        <v>22.08</v>
      </c>
      <c r="P8">
        <f>SmtRes!AG10</f>
        <v>0</v>
      </c>
      <c r="Q8">
        <f>SmtRes!DC10</f>
        <v>0</v>
      </c>
      <c r="R8">
        <f>ROUND(ROUND(Q8*Source!I32, 2)*1, 2)</f>
        <v>0</v>
      </c>
      <c r="S8">
        <f>SmtRes!AC10</f>
        <v>0</v>
      </c>
      <c r="T8">
        <f>ROUND(ROUND(Q8*Source!I32, 2)*SmtRes!AK10, 2)</f>
        <v>0</v>
      </c>
      <c r="U8">
        <f>SmtRes!X10</f>
        <v>-1369228791</v>
      </c>
      <c r="V8">
        <v>-1032985622</v>
      </c>
      <c r="W8">
        <v>-379069142</v>
      </c>
    </row>
    <row r="9" spans="1:23" x14ac:dyDescent="0.2">
      <c r="A9">
        <f>Source!A32</f>
        <v>17</v>
      </c>
      <c r="C9">
        <v>3</v>
      </c>
      <c r="D9">
        <v>0</v>
      </c>
      <c r="E9">
        <f>SmtRes!AV9</f>
        <v>0</v>
      </c>
      <c r="F9" t="str">
        <f>SmtRes!I9</f>
        <v>507-2623</v>
      </c>
      <c r="G9" t="str">
        <f>SmtRes!K9</f>
        <v>Муфты полиэтиленовые МПТ-1 для труб 100 мм</v>
      </c>
      <c r="H9" t="str">
        <f>SmtRes!O9</f>
        <v>10 шт.</v>
      </c>
      <c r="I9">
        <f>SmtRes!Y9*Source!I32</f>
        <v>1.92</v>
      </c>
      <c r="J9">
        <f>SmtRes!AO9</f>
        <v>1</v>
      </c>
      <c r="K9">
        <f>SmtRes!AE9</f>
        <v>43.83</v>
      </c>
      <c r="L9">
        <f>SmtRes!DB9</f>
        <v>1402.56</v>
      </c>
      <c r="M9">
        <f>ROUND(ROUND(L9*Source!I32, 2)*1, 2)</f>
        <v>84.15</v>
      </c>
      <c r="N9">
        <f>SmtRes!AA9</f>
        <v>210.82</v>
      </c>
      <c r="O9">
        <f>ROUND(ROUND(L9*Source!I32, 2)*SmtRes!DA9, 2)</f>
        <v>404.76</v>
      </c>
      <c r="P9">
        <f>SmtRes!AG9</f>
        <v>0</v>
      </c>
      <c r="Q9">
        <f>SmtRes!DC9</f>
        <v>0</v>
      </c>
      <c r="R9">
        <f>ROUND(ROUND(Q9*Source!I32, 2)*1, 2)</f>
        <v>0</v>
      </c>
      <c r="S9">
        <f>SmtRes!AC9</f>
        <v>0</v>
      </c>
      <c r="T9">
        <f>ROUND(ROUND(Q9*Source!I32, 2)*SmtRes!AK9, 2)</f>
        <v>0</v>
      </c>
      <c r="U9">
        <f>SmtRes!X9</f>
        <v>-178344845</v>
      </c>
      <c r="V9">
        <v>360263207</v>
      </c>
      <c r="W9">
        <v>-246941579</v>
      </c>
    </row>
    <row r="10" spans="1:23" x14ac:dyDescent="0.2">
      <c r="A10">
        <f>Source!A32</f>
        <v>17</v>
      </c>
      <c r="C10">
        <v>3</v>
      </c>
      <c r="D10">
        <v>0</v>
      </c>
      <c r="E10">
        <f>SmtRes!AV8</f>
        <v>0</v>
      </c>
      <c r="F10" t="str">
        <f>SmtRes!I8</f>
        <v>102-0243</v>
      </c>
      <c r="G10" t="str">
        <f>SmtRes!K8</f>
        <v>Дрова разделанные длиной 1,5-2 м сосна, ольха</v>
      </c>
      <c r="H10" t="str">
        <f>SmtRes!O8</f>
        <v>м3</v>
      </c>
      <c r="I10">
        <f>SmtRes!Y8*Source!I32</f>
        <v>1.7999999999999999E-2</v>
      </c>
      <c r="J10">
        <f>SmtRes!AO8</f>
        <v>1</v>
      </c>
      <c r="K10">
        <f>SmtRes!AE8</f>
        <v>239.59</v>
      </c>
      <c r="L10">
        <f>SmtRes!DB8</f>
        <v>71.88</v>
      </c>
      <c r="M10">
        <f>ROUND(ROUND(L10*Source!I32, 2)*1, 2)</f>
        <v>4.3099999999999996</v>
      </c>
      <c r="N10">
        <f>SmtRes!AA8</f>
        <v>1825.68</v>
      </c>
      <c r="O10">
        <f>ROUND(ROUND(L10*Source!I32, 2)*SmtRes!DA8, 2)</f>
        <v>32.840000000000003</v>
      </c>
      <c r="P10">
        <f>SmtRes!AG8</f>
        <v>0</v>
      </c>
      <c r="Q10">
        <f>SmtRes!DC8</f>
        <v>0</v>
      </c>
      <c r="R10">
        <f>ROUND(ROUND(Q10*Source!I32, 2)*1, 2)</f>
        <v>0</v>
      </c>
      <c r="S10">
        <f>SmtRes!AC8</f>
        <v>0</v>
      </c>
      <c r="T10">
        <f>ROUND(ROUND(Q10*Source!I32, 2)*SmtRes!AK8, 2)</f>
        <v>0</v>
      </c>
      <c r="U10">
        <f>SmtRes!X8</f>
        <v>-468662198</v>
      </c>
      <c r="V10">
        <v>69694409</v>
      </c>
      <c r="W10">
        <v>-1925362402</v>
      </c>
    </row>
    <row r="11" spans="1:23" x14ac:dyDescent="0.2">
      <c r="A11">
        <f>Source!A32</f>
        <v>17</v>
      </c>
      <c r="C11">
        <v>3</v>
      </c>
      <c r="D11">
        <v>0</v>
      </c>
      <c r="E11">
        <f>SmtRes!AV7</f>
        <v>0</v>
      </c>
      <c r="F11" t="str">
        <f>SmtRes!I7</f>
        <v>101-2260</v>
      </c>
      <c r="G11" t="str">
        <f>SmtRes!K7</f>
        <v>Трубы хризотилцементные безнапорные БНТ, диаметр условного прохода 100 мм</v>
      </c>
      <c r="H11" t="str">
        <f>SmtRes!O7</f>
        <v>м</v>
      </c>
      <c r="I11">
        <f>SmtRes!Y7*Source!I32</f>
        <v>59.4</v>
      </c>
      <c r="J11">
        <f>SmtRes!AO7</f>
        <v>1</v>
      </c>
      <c r="K11">
        <f>SmtRes!AE7</f>
        <v>14.48</v>
      </c>
      <c r="L11">
        <f>SmtRes!DB7</f>
        <v>14335.2</v>
      </c>
      <c r="M11">
        <f>ROUND(ROUND(L11*Source!I32, 2)*1, 2)</f>
        <v>860.11</v>
      </c>
      <c r="N11">
        <f>SmtRes!AA7</f>
        <v>86.3</v>
      </c>
      <c r="O11">
        <f>ROUND(ROUND(L11*Source!I32, 2)*SmtRes!DA7, 2)</f>
        <v>5126.26</v>
      </c>
      <c r="P11">
        <f>SmtRes!AG7</f>
        <v>0</v>
      </c>
      <c r="Q11">
        <f>SmtRes!DC7</f>
        <v>0</v>
      </c>
      <c r="R11">
        <f>ROUND(ROUND(Q11*Source!I32, 2)*1, 2)</f>
        <v>0</v>
      </c>
      <c r="S11">
        <f>SmtRes!AC7</f>
        <v>0</v>
      </c>
      <c r="T11">
        <f>ROUND(ROUND(Q11*Source!I32, 2)*SmtRes!AK7, 2)</f>
        <v>0</v>
      </c>
      <c r="U11">
        <f>SmtRes!X7</f>
        <v>737915816</v>
      </c>
      <c r="V11">
        <v>413054998</v>
      </c>
      <c r="W11">
        <v>-964878450</v>
      </c>
    </row>
    <row r="12" spans="1:23" x14ac:dyDescent="0.2">
      <c r="A12">
        <f>Source!A33</f>
        <v>17</v>
      </c>
      <c r="C12">
        <v>3</v>
      </c>
      <c r="D12">
        <v>0</v>
      </c>
      <c r="E12">
        <f>SmtRes!AV14</f>
        <v>0</v>
      </c>
      <c r="F12" t="str">
        <f>SmtRes!I14</f>
        <v>999-9950</v>
      </c>
      <c r="G12" t="str">
        <f>SmtRes!K14</f>
        <v>Вспомогательные ненормируемые материалы (2% от ОЗП)</v>
      </c>
      <c r="H12" t="str">
        <f>SmtRes!O14</f>
        <v>РУБ</v>
      </c>
      <c r="I12">
        <f>SmtRes!Y14*Source!I33</f>
        <v>1</v>
      </c>
      <c r="J12">
        <f>SmtRes!AO14</f>
        <v>1</v>
      </c>
      <c r="K12">
        <f>SmtRes!AE14</f>
        <v>1</v>
      </c>
      <c r="L12">
        <f>SmtRes!DB14</f>
        <v>0.1</v>
      </c>
      <c r="M12">
        <f>ROUND(ROUND(L12*Source!I33, 2)*1, 2)</f>
        <v>1</v>
      </c>
      <c r="N12">
        <f>SmtRes!AA14</f>
        <v>1</v>
      </c>
      <c r="O12">
        <f>ROUND(ROUND(L12*Source!I33, 2)*SmtRes!DA14, 2)</f>
        <v>1</v>
      </c>
      <c r="P12">
        <f>SmtRes!AG14</f>
        <v>0</v>
      </c>
      <c r="Q12">
        <f>SmtRes!DC14</f>
        <v>0</v>
      </c>
      <c r="R12">
        <f>ROUND(ROUND(Q12*Source!I33, 2)*1, 2)</f>
        <v>0</v>
      </c>
      <c r="S12">
        <f>SmtRes!AC14</f>
        <v>0</v>
      </c>
      <c r="T12">
        <f>ROUND(ROUND(Q12*Source!I33, 2)*SmtRes!AK14, 2)</f>
        <v>0</v>
      </c>
      <c r="U12">
        <f>SmtRes!X14</f>
        <v>-915781824</v>
      </c>
      <c r="V12">
        <v>655047484</v>
      </c>
      <c r="W12">
        <v>655047484</v>
      </c>
    </row>
    <row r="13" spans="1:23" x14ac:dyDescent="0.2">
      <c r="A13">
        <f>Source!A35</f>
        <v>18</v>
      </c>
      <c r="C13">
        <v>3</v>
      </c>
      <c r="D13">
        <f>Source!BI35</f>
        <v>2</v>
      </c>
      <c r="E13">
        <f>Source!FS35</f>
        <v>0</v>
      </c>
      <c r="F13" t="str">
        <f>Source!F35</f>
        <v>534-9100-312</v>
      </c>
      <c r="G13" t="str">
        <f>Source!G35</f>
        <v>Уплотнитель кабельных проходов термоусаживаемый УКПТ 175/55/300</v>
      </c>
      <c r="H13" t="str">
        <f>Source!H35</f>
        <v>шт.</v>
      </c>
      <c r="I13">
        <f>Source!I35</f>
        <v>20</v>
      </c>
      <c r="J13">
        <v>1</v>
      </c>
      <c r="K13">
        <f>Source!AC35</f>
        <v>352.18</v>
      </c>
      <c r="M13">
        <f>ROUND(K13*I13, 2)</f>
        <v>7043.6</v>
      </c>
      <c r="N13">
        <f>Source!AC35*IF(Source!BC35&lt;&gt; 0, Source!BC35, 1)</f>
        <v>352.18</v>
      </c>
      <c r="O13">
        <f>ROUND(N13*I13, 2)</f>
        <v>7043.6</v>
      </c>
      <c r="P13">
        <f>Source!AE35</f>
        <v>0</v>
      </c>
      <c r="R13">
        <f>ROUND(P13*I13, 2)</f>
        <v>0</v>
      </c>
      <c r="S13">
        <f>Source!AE35*IF(Source!BS35&lt;&gt; 0, Source!BS35, 1)</f>
        <v>0</v>
      </c>
      <c r="T13">
        <f>ROUND(S13*I13, 2)</f>
        <v>0</v>
      </c>
      <c r="U13">
        <f>Source!GF35</f>
        <v>356919503</v>
      </c>
      <c r="V13">
        <v>-1154588961</v>
      </c>
      <c r="W13">
        <v>-1154588961</v>
      </c>
    </row>
    <row r="14" spans="1:23" x14ac:dyDescent="0.2">
      <c r="A14">
        <f>Source!A36</f>
        <v>17</v>
      </c>
      <c r="C14">
        <v>3</v>
      </c>
      <c r="D14">
        <v>0</v>
      </c>
      <c r="E14">
        <f>SmtRes!AV28</f>
        <v>0</v>
      </c>
      <c r="F14" t="str">
        <f>SmtRes!I28</f>
        <v>999-9950</v>
      </c>
      <c r="G14" t="str">
        <f>SmtRes!K28</f>
        <v>Вспомогательные ненормируемые материалы (2% от ОЗП)</v>
      </c>
      <c r="H14" t="str">
        <f>SmtRes!O28</f>
        <v>РУБ</v>
      </c>
      <c r="I14">
        <f>SmtRes!Y28*Source!I36</f>
        <v>8.1999999999999993</v>
      </c>
      <c r="J14">
        <f>SmtRes!AO28</f>
        <v>1</v>
      </c>
      <c r="K14">
        <f>SmtRes!AE28</f>
        <v>1</v>
      </c>
      <c r="L14">
        <f>SmtRes!DB28</f>
        <v>8.1999999999999993</v>
      </c>
      <c r="M14">
        <f>ROUND(ROUND(L14*Source!I36, 2)*1, 2)</f>
        <v>8.1999999999999993</v>
      </c>
      <c r="N14">
        <f>SmtRes!AA28</f>
        <v>1</v>
      </c>
      <c r="O14">
        <f>ROUND(ROUND(L14*Source!I36, 2)*SmtRes!DA28, 2)</f>
        <v>8.1999999999999993</v>
      </c>
      <c r="P14">
        <f>SmtRes!AG28</f>
        <v>0</v>
      </c>
      <c r="Q14">
        <f>SmtRes!DC28</f>
        <v>0</v>
      </c>
      <c r="R14">
        <f>ROUND(ROUND(Q14*Source!I36, 2)*1, 2)</f>
        <v>0</v>
      </c>
      <c r="S14">
        <f>SmtRes!AC28</f>
        <v>0</v>
      </c>
      <c r="T14">
        <f>ROUND(ROUND(Q14*Source!I36, 2)*SmtRes!AK28, 2)</f>
        <v>0</v>
      </c>
      <c r="U14">
        <f>SmtRes!X28</f>
        <v>-915781824</v>
      </c>
      <c r="V14">
        <v>655047484</v>
      </c>
      <c r="W14">
        <v>655047484</v>
      </c>
    </row>
    <row r="15" spans="1:23" x14ac:dyDescent="0.2">
      <c r="A15">
        <f>Source!A36</f>
        <v>17</v>
      </c>
      <c r="C15">
        <v>3</v>
      </c>
      <c r="D15">
        <v>0</v>
      </c>
      <c r="E15">
        <f>SmtRes!AV26</f>
        <v>0</v>
      </c>
      <c r="F15" t="str">
        <f>SmtRes!I26</f>
        <v>509-0090</v>
      </c>
      <c r="G15" t="str">
        <f>SmtRes!K26</f>
        <v>Перемычки гибкие, тип ПГС-50</v>
      </c>
      <c r="H15" t="str">
        <f>SmtRes!O26</f>
        <v>10 шт.</v>
      </c>
      <c r="I15">
        <f>SmtRes!Y26*Source!I36</f>
        <v>0.6</v>
      </c>
      <c r="J15">
        <f>SmtRes!AO26</f>
        <v>1</v>
      </c>
      <c r="K15">
        <f>SmtRes!AE26</f>
        <v>40.9</v>
      </c>
      <c r="L15">
        <f>SmtRes!DB26</f>
        <v>24.54</v>
      </c>
      <c r="M15">
        <f>ROUND(ROUND(L15*Source!I36, 2)*1, 2)</f>
        <v>24.54</v>
      </c>
      <c r="N15">
        <f>SmtRes!AA26</f>
        <v>993.87</v>
      </c>
      <c r="O15">
        <f>ROUND(ROUND(L15*Source!I36, 2)*SmtRes!DA26, 2)</f>
        <v>596.32000000000005</v>
      </c>
      <c r="P15">
        <f>SmtRes!AG26</f>
        <v>0</v>
      </c>
      <c r="Q15">
        <f>SmtRes!DC26</f>
        <v>0</v>
      </c>
      <c r="R15">
        <f>ROUND(ROUND(Q15*Source!I36, 2)*1, 2)</f>
        <v>0</v>
      </c>
      <c r="S15">
        <f>SmtRes!AC26</f>
        <v>0</v>
      </c>
      <c r="T15">
        <f>ROUND(ROUND(Q15*Source!I36, 2)*SmtRes!AK26, 2)</f>
        <v>0</v>
      </c>
      <c r="U15">
        <f>SmtRes!X26</f>
        <v>-1035860104</v>
      </c>
      <c r="V15">
        <v>629134803</v>
      </c>
      <c r="W15">
        <v>290375950</v>
      </c>
    </row>
    <row r="16" spans="1:23" x14ac:dyDescent="0.2">
      <c r="A16">
        <f>Source!A36</f>
        <v>17</v>
      </c>
      <c r="C16">
        <v>3</v>
      </c>
      <c r="D16">
        <v>0</v>
      </c>
      <c r="E16">
        <f>SmtRes!AV25</f>
        <v>0</v>
      </c>
      <c r="F16" t="str">
        <f>SmtRes!I25</f>
        <v>402-0006</v>
      </c>
      <c r="G16" t="str">
        <f>SmtRes!K25</f>
        <v>Раствор готовый кладочный цементный марки 200</v>
      </c>
      <c r="H16" t="str">
        <f>SmtRes!O25</f>
        <v>м3</v>
      </c>
      <c r="I16">
        <f>SmtRes!Y25*Source!I36</f>
        <v>4.0000000000000001E-3</v>
      </c>
      <c r="J16">
        <f>SmtRes!AO25</f>
        <v>1</v>
      </c>
      <c r="K16">
        <f>SmtRes!AE25</f>
        <v>600</v>
      </c>
      <c r="L16">
        <f>SmtRes!DB25</f>
        <v>2.4</v>
      </c>
      <c r="M16">
        <f>ROUND(ROUND(L16*Source!I36, 2)*1, 2)</f>
        <v>2.4</v>
      </c>
      <c r="N16">
        <f>SmtRes!AA25</f>
        <v>3540</v>
      </c>
      <c r="O16">
        <f>ROUND(ROUND(L16*Source!I36, 2)*SmtRes!DA25, 2)</f>
        <v>14.16</v>
      </c>
      <c r="P16">
        <f>SmtRes!AG25</f>
        <v>0</v>
      </c>
      <c r="Q16">
        <f>SmtRes!DC25</f>
        <v>0</v>
      </c>
      <c r="R16">
        <f>ROUND(ROUND(Q16*Source!I36, 2)*1, 2)</f>
        <v>0</v>
      </c>
      <c r="S16">
        <f>SmtRes!AC25</f>
        <v>0</v>
      </c>
      <c r="T16">
        <f>ROUND(ROUND(Q16*Source!I36, 2)*SmtRes!AK25, 2)</f>
        <v>0</v>
      </c>
      <c r="U16">
        <f>SmtRes!X25</f>
        <v>-672371193</v>
      </c>
      <c r="V16">
        <v>-1800525916</v>
      </c>
      <c r="W16">
        <v>1888346410</v>
      </c>
    </row>
    <row r="17" spans="1:23" x14ac:dyDescent="0.2">
      <c r="A17">
        <f>Source!A36</f>
        <v>17</v>
      </c>
      <c r="C17">
        <v>3</v>
      </c>
      <c r="D17">
        <v>0</v>
      </c>
      <c r="E17">
        <f>SmtRes!AV24</f>
        <v>0</v>
      </c>
      <c r="F17" t="str">
        <f>SmtRes!I24</f>
        <v>110-0219</v>
      </c>
      <c r="G17" t="str">
        <f>SmtRes!K24</f>
        <v>Гайки установочные заземляющие</v>
      </c>
      <c r="H17" t="str">
        <f>SmtRes!O24</f>
        <v>100 шт.</v>
      </c>
      <c r="I17">
        <f>SmtRes!Y24*Source!I36</f>
        <v>0.25</v>
      </c>
      <c r="J17">
        <f>SmtRes!AO24</f>
        <v>1</v>
      </c>
      <c r="K17">
        <f>SmtRes!AE24</f>
        <v>88.75</v>
      </c>
      <c r="L17">
        <f>SmtRes!DB24</f>
        <v>22.19</v>
      </c>
      <c r="M17">
        <f>ROUND(ROUND(L17*Source!I36, 2)*1, 2)</f>
        <v>22.19</v>
      </c>
      <c r="N17">
        <f>SmtRes!AA24</f>
        <v>914.13</v>
      </c>
      <c r="O17">
        <f>ROUND(ROUND(L17*Source!I36, 2)*SmtRes!DA24, 2)</f>
        <v>228.56</v>
      </c>
      <c r="P17">
        <f>SmtRes!AG24</f>
        <v>0</v>
      </c>
      <c r="Q17">
        <f>SmtRes!DC24</f>
        <v>0</v>
      </c>
      <c r="R17">
        <f>ROUND(ROUND(Q17*Source!I36, 2)*1, 2)</f>
        <v>0</v>
      </c>
      <c r="S17">
        <f>SmtRes!AC24</f>
        <v>0</v>
      </c>
      <c r="T17">
        <f>ROUND(ROUND(Q17*Source!I36, 2)*SmtRes!AK24, 2)</f>
        <v>0</v>
      </c>
      <c r="U17">
        <f>SmtRes!X24</f>
        <v>-1600619454</v>
      </c>
      <c r="V17">
        <v>-341751446</v>
      </c>
      <c r="W17">
        <v>-408887131</v>
      </c>
    </row>
    <row r="18" spans="1:23" x14ac:dyDescent="0.2">
      <c r="A18">
        <f>Source!A36</f>
        <v>17</v>
      </c>
      <c r="C18">
        <v>3</v>
      </c>
      <c r="D18">
        <v>0</v>
      </c>
      <c r="E18">
        <f>SmtRes!AV22</f>
        <v>0</v>
      </c>
      <c r="F18" t="str">
        <f>SmtRes!I22</f>
        <v>101-2488</v>
      </c>
      <c r="G18" t="str">
        <f>SmtRes!K22</f>
        <v>Лента ФУМ</v>
      </c>
      <c r="H18" t="str">
        <f>SmtRes!O22</f>
        <v>кг</v>
      </c>
      <c r="I18">
        <f>SmtRes!Y22*Source!I36</f>
        <v>3.7999999999999999E-2</v>
      </c>
      <c r="J18">
        <f>SmtRes!AO22</f>
        <v>1</v>
      </c>
      <c r="K18">
        <f>SmtRes!AE22</f>
        <v>445.32</v>
      </c>
      <c r="L18">
        <f>SmtRes!DB22</f>
        <v>16.920000000000002</v>
      </c>
      <c r="M18">
        <f>ROUND(ROUND(L18*Source!I36, 2)*1, 2)</f>
        <v>16.920000000000002</v>
      </c>
      <c r="N18">
        <f>SmtRes!AA22</f>
        <v>765.95</v>
      </c>
      <c r="O18">
        <f>ROUND(ROUND(L18*Source!I36, 2)*SmtRes!DA22, 2)</f>
        <v>29.1</v>
      </c>
      <c r="P18">
        <f>SmtRes!AG22</f>
        <v>0</v>
      </c>
      <c r="Q18">
        <f>SmtRes!DC22</f>
        <v>0</v>
      </c>
      <c r="R18">
        <f>ROUND(ROUND(Q18*Source!I36, 2)*1, 2)</f>
        <v>0</v>
      </c>
      <c r="S18">
        <f>SmtRes!AC22</f>
        <v>0</v>
      </c>
      <c r="T18">
        <f>ROUND(ROUND(Q18*Source!I36, 2)*SmtRes!AK22, 2)</f>
        <v>0</v>
      </c>
      <c r="U18">
        <f>SmtRes!X22</f>
        <v>-1695597885</v>
      </c>
      <c r="V18">
        <v>-363178856</v>
      </c>
      <c r="W18">
        <v>1921321087</v>
      </c>
    </row>
    <row r="19" spans="1:23" x14ac:dyDescent="0.2">
      <c r="A19">
        <f>Source!A36</f>
        <v>17</v>
      </c>
      <c r="C19">
        <v>3</v>
      </c>
      <c r="D19">
        <v>0</v>
      </c>
      <c r="E19">
        <f>SmtRes!AV21</f>
        <v>0</v>
      </c>
      <c r="F19" t="str">
        <f>SmtRes!I21</f>
        <v>101-1924</v>
      </c>
      <c r="G19" t="str">
        <f>SmtRes!K21</f>
        <v>Электроды диаметром 4 мм Э42А</v>
      </c>
      <c r="H19" t="str">
        <f>SmtRes!O21</f>
        <v>кг</v>
      </c>
      <c r="I19">
        <f>SmtRes!Y21*Source!I36</f>
        <v>1.58</v>
      </c>
      <c r="J19">
        <f>SmtRes!AO21</f>
        <v>1</v>
      </c>
      <c r="K19">
        <f>SmtRes!AE21</f>
        <v>14.31</v>
      </c>
      <c r="L19">
        <f>SmtRes!DB21</f>
        <v>22.61</v>
      </c>
      <c r="M19">
        <f>ROUND(ROUND(L19*Source!I36, 2)*1, 2)</f>
        <v>22.61</v>
      </c>
      <c r="N19">
        <f>SmtRes!AA21</f>
        <v>93.59</v>
      </c>
      <c r="O19">
        <f>ROUND(ROUND(L19*Source!I36, 2)*SmtRes!DA21, 2)</f>
        <v>147.87</v>
      </c>
      <c r="P19">
        <f>SmtRes!AG21</f>
        <v>0</v>
      </c>
      <c r="Q19">
        <f>SmtRes!DC21</f>
        <v>0</v>
      </c>
      <c r="R19">
        <f>ROUND(ROUND(Q19*Source!I36, 2)*1, 2)</f>
        <v>0</v>
      </c>
      <c r="S19">
        <f>SmtRes!AC21</f>
        <v>0</v>
      </c>
      <c r="T19">
        <f>ROUND(ROUND(Q19*Source!I36, 2)*SmtRes!AK21, 2)</f>
        <v>0</v>
      </c>
      <c r="U19">
        <f>SmtRes!X21</f>
        <v>-1805966371</v>
      </c>
      <c r="V19">
        <v>-1022420247</v>
      </c>
      <c r="W19">
        <v>908674597</v>
      </c>
    </row>
    <row r="20" spans="1:23" x14ac:dyDescent="0.2">
      <c r="A20">
        <f>Source!A36</f>
        <v>17</v>
      </c>
      <c r="C20">
        <v>3</v>
      </c>
      <c r="D20">
        <v>0</v>
      </c>
      <c r="E20">
        <f>SmtRes!AV20</f>
        <v>0</v>
      </c>
      <c r="F20" t="str">
        <f>SmtRes!I20</f>
        <v>101-1755</v>
      </c>
      <c r="G20" t="str">
        <f>SmtRes!K20</f>
        <v>Сталь полосовая, марка стали Ст3сп шириной 50-200 мм толщиной 4-5 мм</v>
      </c>
      <c r="H20" t="str">
        <f>SmtRes!O20</f>
        <v>т</v>
      </c>
      <c r="I20">
        <f>SmtRes!Y20*Source!I36</f>
        <v>5.7999999999999996E-3</v>
      </c>
      <c r="J20">
        <f>SmtRes!AO20</f>
        <v>1</v>
      </c>
      <c r="K20">
        <f>SmtRes!AE20</f>
        <v>5000.01</v>
      </c>
      <c r="L20">
        <f>SmtRes!DB20</f>
        <v>29</v>
      </c>
      <c r="M20">
        <f>ROUND(ROUND(L20*Source!I36, 2)*1, 2)</f>
        <v>29</v>
      </c>
      <c r="N20">
        <f>SmtRes!AA20</f>
        <v>42000.08</v>
      </c>
      <c r="O20">
        <f>ROUND(ROUND(L20*Source!I36, 2)*SmtRes!DA20, 2)</f>
        <v>243.6</v>
      </c>
      <c r="P20">
        <f>SmtRes!AG20</f>
        <v>0</v>
      </c>
      <c r="Q20">
        <f>SmtRes!DC20</f>
        <v>0</v>
      </c>
      <c r="R20">
        <f>ROUND(ROUND(Q20*Source!I36, 2)*1, 2)</f>
        <v>0</v>
      </c>
      <c r="S20">
        <f>SmtRes!AC20</f>
        <v>0</v>
      </c>
      <c r="T20">
        <f>ROUND(ROUND(Q20*Source!I36, 2)*SmtRes!AK20, 2)</f>
        <v>0</v>
      </c>
      <c r="U20">
        <f>SmtRes!X20</f>
        <v>-1452013394</v>
      </c>
      <c r="V20">
        <v>947646181</v>
      </c>
      <c r="W20">
        <v>1736812751</v>
      </c>
    </row>
    <row r="21" spans="1:23" x14ac:dyDescent="0.2">
      <c r="A21">
        <f>Source!A37</f>
        <v>18</v>
      </c>
      <c r="C21">
        <v>3</v>
      </c>
      <c r="D21">
        <f>Source!BI37</f>
        <v>2</v>
      </c>
      <c r="E21">
        <f>Source!FS37</f>
        <v>0</v>
      </c>
      <c r="F21" t="str">
        <f>Source!F37</f>
        <v>509-0090</v>
      </c>
      <c r="G21" t="str">
        <f>Source!G37</f>
        <v>Перемычки гибкие, тип ПГС-50</v>
      </c>
      <c r="H21" t="str">
        <f>Source!H37</f>
        <v>10 шт.</v>
      </c>
      <c r="I21">
        <f>Source!I37</f>
        <v>-0.6</v>
      </c>
      <c r="J21">
        <v>1</v>
      </c>
      <c r="K21">
        <f>Source!AC37</f>
        <v>40.9</v>
      </c>
      <c r="M21">
        <f>ROUND(K21*I21, 2)</f>
        <v>-24.54</v>
      </c>
      <c r="N21">
        <f>Source!AC37*IF(Source!BC37&lt;&gt; 0, Source!BC37, 1)</f>
        <v>993.87</v>
      </c>
      <c r="O21">
        <f>ROUND(N21*I21, 2)</f>
        <v>-596.32000000000005</v>
      </c>
      <c r="P21">
        <f>Source!AE37</f>
        <v>0</v>
      </c>
      <c r="R21">
        <f>ROUND(P21*I21, 2)</f>
        <v>0</v>
      </c>
      <c r="S21">
        <f>Source!AE37*IF(Source!BS37&lt;&gt; 0, Source!BS37, 1)</f>
        <v>0</v>
      </c>
      <c r="T21">
        <f>ROUND(S21*I21, 2)</f>
        <v>0</v>
      </c>
      <c r="U21">
        <f>Source!GF37</f>
        <v>-1035860104</v>
      </c>
      <c r="V21">
        <v>629134803</v>
      </c>
      <c r="W21">
        <v>290375950</v>
      </c>
    </row>
    <row r="22" spans="1:23" x14ac:dyDescent="0.2">
      <c r="A22">
        <f>Source!A38</f>
        <v>18</v>
      </c>
      <c r="C22">
        <v>3</v>
      </c>
      <c r="D22">
        <f>Source!BI38</f>
        <v>1</v>
      </c>
      <c r="E22">
        <f>Source!FS38</f>
        <v>0</v>
      </c>
      <c r="F22" t="str">
        <f>Source!F38</f>
        <v>103-0046</v>
      </c>
      <c r="G22" t="str">
        <f>Source!G38</f>
        <v>Трубы стальные сварные водогазопроводные с резьбой оцинкованные легкие, диаметр условного прохода 100 мм, толщина стенки 4 мм</v>
      </c>
      <c r="H22" t="str">
        <f>Source!H38</f>
        <v>м</v>
      </c>
      <c r="I22">
        <f>Source!I38</f>
        <v>100</v>
      </c>
      <c r="J22">
        <v>1</v>
      </c>
      <c r="K22">
        <f>Source!AC38</f>
        <v>82.32</v>
      </c>
      <c r="M22">
        <f>ROUND(K22*I22, 2)</f>
        <v>8232</v>
      </c>
      <c r="N22">
        <f>Source!AC38*IF(Source!BC38&lt;&gt; 0, Source!BC38, 1)</f>
        <v>616.57679999999993</v>
      </c>
      <c r="O22">
        <f>ROUND(N22*I22, 2)</f>
        <v>61657.68</v>
      </c>
      <c r="P22">
        <f>Source!AE38</f>
        <v>0</v>
      </c>
      <c r="R22">
        <f>ROUND(P22*I22, 2)</f>
        <v>0</v>
      </c>
      <c r="S22">
        <f>Source!AE38*IF(Source!BS38&lt;&gt; 0, Source!BS38, 1)</f>
        <v>0</v>
      </c>
      <c r="T22">
        <f>ROUND(S22*I22, 2)</f>
        <v>0</v>
      </c>
      <c r="U22">
        <f>Source!GF38</f>
        <v>-394879126</v>
      </c>
      <c r="V22">
        <v>-1721975245</v>
      </c>
      <c r="W22">
        <v>-1199187987</v>
      </c>
    </row>
    <row r="23" spans="1:23" x14ac:dyDescent="0.2">
      <c r="A23">
        <f>Source!A39</f>
        <v>17</v>
      </c>
      <c r="C23">
        <v>3</v>
      </c>
      <c r="D23">
        <v>0</v>
      </c>
      <c r="E23">
        <f>SmtRes!AV30</f>
        <v>0</v>
      </c>
      <c r="F23" t="str">
        <f>SmtRes!I30</f>
        <v>407-0013</v>
      </c>
      <c r="G23" t="str">
        <f>SmtRes!K30</f>
        <v>Земля растительная механизированной заготовки</v>
      </c>
      <c r="H23" t="str">
        <f>SmtRes!O30</f>
        <v>м3</v>
      </c>
      <c r="I23">
        <f>SmtRes!Y30*Source!I39</f>
        <v>240</v>
      </c>
      <c r="J23">
        <f>SmtRes!AO30</f>
        <v>1</v>
      </c>
      <c r="K23">
        <f>SmtRes!AE30</f>
        <v>131.9</v>
      </c>
      <c r="L23">
        <f>SmtRes!DB30</f>
        <v>1978.5</v>
      </c>
      <c r="M23">
        <f>ROUND(ROUND(L23*Source!I39, 2)*1, 2)</f>
        <v>31656</v>
      </c>
      <c r="N23">
        <f>SmtRes!AA30</f>
        <v>882.41</v>
      </c>
      <c r="O23">
        <f>ROUND(ROUND(L23*Source!I39, 2)*SmtRes!DA30, 2)</f>
        <v>211778.64</v>
      </c>
      <c r="P23">
        <f>SmtRes!AG30</f>
        <v>0</v>
      </c>
      <c r="Q23">
        <f>SmtRes!DC30</f>
        <v>0</v>
      </c>
      <c r="R23">
        <f>ROUND(ROUND(Q23*Source!I39, 2)*1, 2)</f>
        <v>0</v>
      </c>
      <c r="S23">
        <f>SmtRes!AC30</f>
        <v>0</v>
      </c>
      <c r="T23">
        <f>ROUND(ROUND(Q23*Source!I39, 2)*SmtRes!AK30, 2)</f>
        <v>0</v>
      </c>
      <c r="U23">
        <f>SmtRes!X30</f>
        <v>1109074860</v>
      </c>
      <c r="V23">
        <v>-243519871</v>
      </c>
      <c r="W23">
        <v>-296316587</v>
      </c>
    </row>
    <row r="24" spans="1:23" x14ac:dyDescent="0.2">
      <c r="A24">
        <f>Source!A40</f>
        <v>17</v>
      </c>
      <c r="C24">
        <v>3</v>
      </c>
      <c r="D24">
        <v>0</v>
      </c>
      <c r="E24">
        <f>SmtRes!AV32</f>
        <v>0</v>
      </c>
      <c r="F24" t="str">
        <f>SmtRes!I32</f>
        <v>407-0013</v>
      </c>
      <c r="G24" t="str">
        <f>SmtRes!K32</f>
        <v>Земля растительная механизированной заготовки</v>
      </c>
      <c r="H24" t="str">
        <f>SmtRes!O32</f>
        <v>м3</v>
      </c>
      <c r="I24">
        <f>SmtRes!Y32*Source!I40</f>
        <v>-80</v>
      </c>
      <c r="J24">
        <f>SmtRes!AO32</f>
        <v>1</v>
      </c>
      <c r="K24">
        <f>SmtRes!AE32</f>
        <v>131.9</v>
      </c>
      <c r="L24">
        <f>SmtRes!DB32</f>
        <v>659.5</v>
      </c>
      <c r="M24">
        <f>ROUND(ROUND(L24*Source!I40, 2)*1, 2)</f>
        <v>-10552</v>
      </c>
      <c r="N24">
        <f>SmtRes!AA32</f>
        <v>882.41</v>
      </c>
      <c r="O24">
        <f>ROUND(ROUND(L24*Source!I40, 2)*SmtRes!DA32, 2)</f>
        <v>-70592.88</v>
      </c>
      <c r="P24">
        <f>SmtRes!AG32</f>
        <v>0</v>
      </c>
      <c r="Q24">
        <f>SmtRes!DC32</f>
        <v>0</v>
      </c>
      <c r="R24">
        <f>ROUND(ROUND(Q24*Source!I40, 2)*1, 2)</f>
        <v>0</v>
      </c>
      <c r="S24">
        <f>SmtRes!AC32</f>
        <v>0</v>
      </c>
      <c r="T24">
        <f>ROUND(ROUND(Q24*Source!I40, 2)*SmtRes!AK32, 2)</f>
        <v>0</v>
      </c>
      <c r="U24">
        <f>SmtRes!X32</f>
        <v>1109074860</v>
      </c>
      <c r="V24">
        <v>-243519871</v>
      </c>
      <c r="W24">
        <v>-296316587</v>
      </c>
    </row>
    <row r="25" spans="1:23" x14ac:dyDescent="0.2">
      <c r="A25">
        <f>Source!A41</f>
        <v>17</v>
      </c>
      <c r="C25">
        <v>3</v>
      </c>
      <c r="D25">
        <v>0</v>
      </c>
      <c r="E25">
        <f>SmtRes!AV36</f>
        <v>0</v>
      </c>
      <c r="F25" t="str">
        <f>SmtRes!I36</f>
        <v>411-0001</v>
      </c>
      <c r="G25" t="str">
        <f>SmtRes!K36</f>
        <v>Вода</v>
      </c>
      <c r="H25" t="str">
        <f>SmtRes!O36</f>
        <v>м3</v>
      </c>
      <c r="I25">
        <f>SmtRes!Y36*Source!I41</f>
        <v>160</v>
      </c>
      <c r="J25">
        <f>SmtRes!AO36</f>
        <v>1</v>
      </c>
      <c r="K25">
        <f>SmtRes!AE36</f>
        <v>2.44</v>
      </c>
      <c r="L25">
        <f>SmtRes!DB36</f>
        <v>24.4</v>
      </c>
      <c r="M25">
        <f>ROUND(ROUND(L25*Source!I41, 2)*1, 2)</f>
        <v>390.4</v>
      </c>
      <c r="N25">
        <f>SmtRes!AA36</f>
        <v>21.28</v>
      </c>
      <c r="O25">
        <f>ROUND(ROUND(L25*Source!I41, 2)*SmtRes!DA36, 2)</f>
        <v>3404.29</v>
      </c>
      <c r="P25">
        <f>SmtRes!AG36</f>
        <v>0</v>
      </c>
      <c r="Q25">
        <f>SmtRes!DC36</f>
        <v>0</v>
      </c>
      <c r="R25">
        <f>ROUND(ROUND(Q25*Source!I41, 2)*1, 2)</f>
        <v>0</v>
      </c>
      <c r="S25">
        <f>SmtRes!AC36</f>
        <v>0</v>
      </c>
      <c r="T25">
        <f>ROUND(ROUND(Q25*Source!I41, 2)*SmtRes!AK36, 2)</f>
        <v>0</v>
      </c>
      <c r="U25">
        <f>SmtRes!X36</f>
        <v>619799737</v>
      </c>
      <c r="V25">
        <v>1962984545</v>
      </c>
      <c r="W25">
        <v>652008469</v>
      </c>
    </row>
    <row r="26" spans="1:23" x14ac:dyDescent="0.2">
      <c r="A26">
        <f>Source!A42</f>
        <v>18</v>
      </c>
      <c r="C26">
        <v>3</v>
      </c>
      <c r="D26">
        <f>Source!BI42</f>
        <v>1</v>
      </c>
      <c r="E26">
        <f>Source!FS42</f>
        <v>0</v>
      </c>
      <c r="F26" t="str">
        <f>Source!F42</f>
        <v>414-0137</v>
      </c>
      <c r="G26" t="str">
        <f>Source!G42</f>
        <v>Семена газонных трав (смесь)</v>
      </c>
      <c r="H26" t="str">
        <f>Source!H42</f>
        <v>кг</v>
      </c>
      <c r="I26">
        <f>Source!I42</f>
        <v>32</v>
      </c>
      <c r="J26">
        <v>1</v>
      </c>
      <c r="K26">
        <f>Source!AC42</f>
        <v>153.19999999999999</v>
      </c>
      <c r="M26">
        <f>ROUND(K26*I26, 2)</f>
        <v>4902.3999999999996</v>
      </c>
      <c r="N26">
        <f>Source!AC42*IF(Source!BC42&lt;&gt; 0, Source!BC42, 1)</f>
        <v>131.75199999999998</v>
      </c>
      <c r="O26">
        <f>ROUND(N26*I26, 2)</f>
        <v>4216.0600000000004</v>
      </c>
      <c r="P26">
        <f>Source!AE42</f>
        <v>0</v>
      </c>
      <c r="R26">
        <f>ROUND(P26*I26, 2)</f>
        <v>0</v>
      </c>
      <c r="S26">
        <f>Source!AE42*IF(Source!BS42&lt;&gt; 0, Source!BS42, 1)</f>
        <v>0</v>
      </c>
      <c r="T26">
        <f>ROUND(S26*I26, 2)</f>
        <v>0</v>
      </c>
      <c r="U26">
        <f>Source!GF42</f>
        <v>-1029131374</v>
      </c>
      <c r="V26">
        <v>945615747</v>
      </c>
      <c r="W26">
        <v>-1250450643</v>
      </c>
    </row>
    <row r="27" spans="1:23" x14ac:dyDescent="0.2">
      <c r="A27">
        <f>Source!A73</f>
        <v>4</v>
      </c>
      <c r="B27">
        <v>73</v>
      </c>
      <c r="G27" t="str">
        <f>Source!G73</f>
        <v>Электромонтажные работы</v>
      </c>
    </row>
    <row r="28" spans="1:23" x14ac:dyDescent="0.2">
      <c r="A28">
        <f>Source!A77</f>
        <v>17</v>
      </c>
      <c r="C28">
        <v>3</v>
      </c>
      <c r="D28">
        <v>0</v>
      </c>
      <c r="E28">
        <f>SmtRes!AV41</f>
        <v>0</v>
      </c>
      <c r="F28" t="str">
        <f>SmtRes!I41</f>
        <v>999-9950</v>
      </c>
      <c r="G28" t="str">
        <f>SmtRes!K41</f>
        <v>Вспомогательные ненормируемые материалы (2% от ОЗП)</v>
      </c>
      <c r="H28" t="str">
        <f>SmtRes!O41</f>
        <v>РУБ</v>
      </c>
      <c r="I28">
        <f>SmtRes!Y41*Source!I77</f>
        <v>9.7715999999999994</v>
      </c>
      <c r="J28">
        <f>SmtRes!AO41</f>
        <v>1</v>
      </c>
      <c r="K28">
        <f>SmtRes!AE41</f>
        <v>1</v>
      </c>
      <c r="L28">
        <f>SmtRes!DB41</f>
        <v>1.02</v>
      </c>
      <c r="M28">
        <f>ROUND(ROUND(L28*Source!I77, 2)*1, 2)</f>
        <v>9.77</v>
      </c>
      <c r="N28">
        <f>SmtRes!AA41</f>
        <v>1</v>
      </c>
      <c r="O28">
        <f>ROUND(ROUND(L28*Source!I77, 2)*SmtRes!DA41, 2)</f>
        <v>9.77</v>
      </c>
      <c r="P28">
        <f>SmtRes!AG41</f>
        <v>0</v>
      </c>
      <c r="Q28">
        <f>SmtRes!DC41</f>
        <v>0</v>
      </c>
      <c r="R28">
        <f>ROUND(ROUND(Q28*Source!I77, 2)*1, 2)</f>
        <v>0</v>
      </c>
      <c r="S28">
        <f>SmtRes!AC41</f>
        <v>0</v>
      </c>
      <c r="T28">
        <f>ROUND(ROUND(Q28*Source!I77, 2)*SmtRes!AK41, 2)</f>
        <v>0</v>
      </c>
      <c r="U28">
        <f>SmtRes!X41</f>
        <v>-958769613</v>
      </c>
      <c r="V28">
        <v>731048976</v>
      </c>
      <c r="W28">
        <v>731048976</v>
      </c>
    </row>
    <row r="29" spans="1:23" x14ac:dyDescent="0.2">
      <c r="A29">
        <f>Source!A78</f>
        <v>18</v>
      </c>
      <c r="C29">
        <v>3</v>
      </c>
      <c r="D29">
        <f>Source!BI78</f>
        <v>2</v>
      </c>
      <c r="E29">
        <f>Source!FS78</f>
        <v>0</v>
      </c>
      <c r="F29" t="str">
        <f>Source!F78</f>
        <v>408-0122</v>
      </c>
      <c r="G29" t="str">
        <f>Source!G78</f>
        <v>Песок природный для строительных работ средний</v>
      </c>
      <c r="H29" t="str">
        <f>Source!H78</f>
        <v>м3</v>
      </c>
      <c r="I29">
        <f>Source!I78</f>
        <v>114.96000000000001</v>
      </c>
      <c r="J29">
        <v>1</v>
      </c>
      <c r="K29">
        <f>Source!AC78</f>
        <v>55.26</v>
      </c>
      <c r="M29">
        <f>ROUND(K29*I29, 2)</f>
        <v>6352.69</v>
      </c>
      <c r="N29">
        <f>Source!AC78*IF(Source!BC78&lt;&gt; 0, Source!BC78, 1)</f>
        <v>550.38959999999997</v>
      </c>
      <c r="O29">
        <f>ROUND(N29*I29, 2)</f>
        <v>63272.79</v>
      </c>
      <c r="P29">
        <f>Source!AE78</f>
        <v>0</v>
      </c>
      <c r="R29">
        <f>ROUND(P29*I29, 2)</f>
        <v>0</v>
      </c>
      <c r="S29">
        <f>Source!AE78*IF(Source!BS78&lt;&gt; 0, Source!BS78, 1)</f>
        <v>0</v>
      </c>
      <c r="T29">
        <f>ROUND(S29*I29, 2)</f>
        <v>0</v>
      </c>
      <c r="U29">
        <f>Source!GF78</f>
        <v>-1147251145</v>
      </c>
      <c r="V29">
        <v>-1116652908</v>
      </c>
      <c r="W29">
        <v>1890378090</v>
      </c>
    </row>
    <row r="30" spans="1:23" x14ac:dyDescent="0.2">
      <c r="A30">
        <f>Source!A79</f>
        <v>17</v>
      </c>
      <c r="C30">
        <v>3</v>
      </c>
      <c r="D30">
        <v>0</v>
      </c>
      <c r="E30">
        <f>SmtRes!AV53</f>
        <v>0</v>
      </c>
      <c r="F30" t="str">
        <f>SmtRes!I53</f>
        <v>999-9950</v>
      </c>
      <c r="G30" t="str">
        <f>SmtRes!K53</f>
        <v>Вспомогательные ненормируемые материалы (2% от ОЗП)</v>
      </c>
      <c r="H30" t="str">
        <f>SmtRes!O53</f>
        <v>РУБ</v>
      </c>
      <c r="I30">
        <f>SmtRes!Y53*Source!I79</f>
        <v>32.188800000000001</v>
      </c>
      <c r="J30">
        <f>SmtRes!AO53</f>
        <v>1</v>
      </c>
      <c r="K30">
        <f>SmtRes!AE53</f>
        <v>1</v>
      </c>
      <c r="L30">
        <f>SmtRes!DB53</f>
        <v>3.36</v>
      </c>
      <c r="M30">
        <f>ROUND(ROUND(L30*Source!I79, 2)*1, 2)</f>
        <v>32.19</v>
      </c>
      <c r="N30">
        <f>SmtRes!AA53</f>
        <v>1</v>
      </c>
      <c r="O30">
        <f>ROUND(ROUND(L30*Source!I79, 2)*SmtRes!DA53, 2)</f>
        <v>32.19</v>
      </c>
      <c r="P30">
        <f>SmtRes!AG53</f>
        <v>0</v>
      </c>
      <c r="Q30">
        <f>SmtRes!DC53</f>
        <v>0</v>
      </c>
      <c r="R30">
        <f>ROUND(ROUND(Q30*Source!I79, 2)*1, 2)</f>
        <v>0</v>
      </c>
      <c r="S30">
        <f>SmtRes!AC53</f>
        <v>0</v>
      </c>
      <c r="T30">
        <f>ROUND(ROUND(Q30*Source!I79, 2)*SmtRes!AK53, 2)</f>
        <v>0</v>
      </c>
      <c r="U30">
        <f>SmtRes!X53</f>
        <v>-915781824</v>
      </c>
      <c r="V30">
        <v>655047484</v>
      </c>
      <c r="W30">
        <v>655047484</v>
      </c>
    </row>
    <row r="31" spans="1:23" x14ac:dyDescent="0.2">
      <c r="A31">
        <f>Source!A79</f>
        <v>17</v>
      </c>
      <c r="C31">
        <v>3</v>
      </c>
      <c r="D31">
        <v>0</v>
      </c>
      <c r="E31">
        <f>SmtRes!AV52</f>
        <v>0</v>
      </c>
      <c r="F31" t="str">
        <f>SmtRes!I52</f>
        <v>113-1786</v>
      </c>
      <c r="G31" t="str">
        <f>SmtRes!K52</f>
        <v>Лак битумный БТ-123</v>
      </c>
      <c r="H31" t="str">
        <f>SmtRes!O52</f>
        <v>т</v>
      </c>
      <c r="I31">
        <f>SmtRes!Y52*Source!I79</f>
        <v>5.7479999999999999E-4</v>
      </c>
      <c r="J31">
        <f>SmtRes!AO52</f>
        <v>1</v>
      </c>
      <c r="K31">
        <f>SmtRes!AE52</f>
        <v>9073.89</v>
      </c>
      <c r="L31">
        <f>SmtRes!DB52</f>
        <v>0.54</v>
      </c>
      <c r="M31">
        <f>ROUND(ROUND(L31*Source!I79, 2)*1, 2)</f>
        <v>5.17</v>
      </c>
      <c r="N31">
        <f>SmtRes!AA52</f>
        <v>85748.26</v>
      </c>
      <c r="O31">
        <f>ROUND(ROUND(L31*Source!I79, 2)*SmtRes!DA52, 2)</f>
        <v>48.86</v>
      </c>
      <c r="P31">
        <f>SmtRes!AG52</f>
        <v>0</v>
      </c>
      <c r="Q31">
        <f>SmtRes!DC52</f>
        <v>0</v>
      </c>
      <c r="R31">
        <f>ROUND(ROUND(Q31*Source!I79, 2)*1, 2)</f>
        <v>0</v>
      </c>
      <c r="S31">
        <f>SmtRes!AC52</f>
        <v>0</v>
      </c>
      <c r="T31">
        <f>ROUND(ROUND(Q31*Source!I79, 2)*SmtRes!AK52, 2)</f>
        <v>0</v>
      </c>
      <c r="U31">
        <f>SmtRes!X52</f>
        <v>-2033855571</v>
      </c>
      <c r="V31">
        <v>-82772239</v>
      </c>
      <c r="W31">
        <v>-588559898</v>
      </c>
    </row>
    <row r="32" spans="1:23" x14ac:dyDescent="0.2">
      <c r="A32">
        <f>Source!A79</f>
        <v>17</v>
      </c>
      <c r="C32">
        <v>3</v>
      </c>
      <c r="D32">
        <v>0</v>
      </c>
      <c r="E32">
        <f>SmtRes!AV51</f>
        <v>0</v>
      </c>
      <c r="F32" t="str">
        <f>SmtRes!I51</f>
        <v>101-2478</v>
      </c>
      <c r="G32" t="str">
        <f>SmtRes!K51</f>
        <v>Лента К226</v>
      </c>
      <c r="H32" t="str">
        <f>SmtRes!O51</f>
        <v>100 м</v>
      </c>
      <c r="I32">
        <f>SmtRes!Y51*Source!I79</f>
        <v>9.1967999999999994E-2</v>
      </c>
      <c r="J32">
        <f>SmtRes!AO51</f>
        <v>1</v>
      </c>
      <c r="K32">
        <f>SmtRes!AE51</f>
        <v>120.36</v>
      </c>
      <c r="L32">
        <f>SmtRes!DB51</f>
        <v>1.1599999999999999</v>
      </c>
      <c r="M32">
        <f>ROUND(ROUND(L32*Source!I79, 2)*1, 2)</f>
        <v>11.11</v>
      </c>
      <c r="N32">
        <f>SmtRes!AA51</f>
        <v>565.69000000000005</v>
      </c>
      <c r="O32">
        <f>ROUND(ROUND(L32*Source!I79, 2)*SmtRes!DA51, 2)</f>
        <v>52.22</v>
      </c>
      <c r="P32">
        <f>SmtRes!AG51</f>
        <v>0</v>
      </c>
      <c r="Q32">
        <f>SmtRes!DC51</f>
        <v>0</v>
      </c>
      <c r="R32">
        <f>ROUND(ROUND(Q32*Source!I79, 2)*1, 2)</f>
        <v>0</v>
      </c>
      <c r="S32">
        <f>SmtRes!AC51</f>
        <v>0</v>
      </c>
      <c r="T32">
        <f>ROUND(ROUND(Q32*Source!I79, 2)*SmtRes!AK51, 2)</f>
        <v>0</v>
      </c>
      <c r="U32">
        <f>SmtRes!X51</f>
        <v>611857035</v>
      </c>
      <c r="V32">
        <v>-1221827425</v>
      </c>
      <c r="W32">
        <v>53189039</v>
      </c>
    </row>
    <row r="33" spans="1:23" x14ac:dyDescent="0.2">
      <c r="A33">
        <f>Source!A79</f>
        <v>17</v>
      </c>
      <c r="C33">
        <v>3</v>
      </c>
      <c r="D33">
        <v>0</v>
      </c>
      <c r="E33">
        <f>SmtRes!AV50</f>
        <v>0</v>
      </c>
      <c r="F33" t="str">
        <f>SmtRes!I50</f>
        <v>101-2143</v>
      </c>
      <c r="G33" t="str">
        <f>SmtRes!K50</f>
        <v>Краска</v>
      </c>
      <c r="H33" t="str">
        <f>SmtRes!O50</f>
        <v>кг</v>
      </c>
      <c r="I33">
        <f>SmtRes!Y50*Source!I79</f>
        <v>2.395</v>
      </c>
      <c r="J33">
        <f>SmtRes!AO50</f>
        <v>1</v>
      </c>
      <c r="K33">
        <f>SmtRes!AE50</f>
        <v>28.67</v>
      </c>
      <c r="L33">
        <f>SmtRes!DB50</f>
        <v>7.17</v>
      </c>
      <c r="M33">
        <f>ROUND(ROUND(L33*Source!I79, 2)*1, 2)</f>
        <v>68.69</v>
      </c>
      <c r="N33">
        <f>SmtRes!AA50</f>
        <v>63.36</v>
      </c>
      <c r="O33">
        <f>ROUND(ROUND(L33*Source!I79, 2)*SmtRes!DA50, 2)</f>
        <v>151.80000000000001</v>
      </c>
      <c r="P33">
        <f>SmtRes!AG50</f>
        <v>0</v>
      </c>
      <c r="Q33">
        <f>SmtRes!DC50</f>
        <v>0</v>
      </c>
      <c r="R33">
        <f>ROUND(ROUND(Q33*Source!I79, 2)*1, 2)</f>
        <v>0</v>
      </c>
      <c r="S33">
        <f>SmtRes!AC50</f>
        <v>0</v>
      </c>
      <c r="T33">
        <f>ROUND(ROUND(Q33*Source!I79, 2)*SmtRes!AK50, 2)</f>
        <v>0</v>
      </c>
      <c r="U33">
        <f>SmtRes!X50</f>
        <v>-1768004575</v>
      </c>
      <c r="V33">
        <v>1217422333</v>
      </c>
      <c r="W33">
        <v>1617004271</v>
      </c>
    </row>
    <row r="34" spans="1:23" x14ac:dyDescent="0.2">
      <c r="A34">
        <f>Source!A79</f>
        <v>17</v>
      </c>
      <c r="C34">
        <v>3</v>
      </c>
      <c r="D34">
        <v>0</v>
      </c>
      <c r="E34">
        <f>SmtRes!AV49</f>
        <v>0</v>
      </c>
      <c r="F34" t="str">
        <f>SmtRes!I49</f>
        <v>101-1755</v>
      </c>
      <c r="G34" t="str">
        <f>SmtRes!K49</f>
        <v>Сталь полосовая, марка стали Ст3сп шириной 50-200 мм толщиной 4-5 мм</v>
      </c>
      <c r="H34" t="str">
        <f>SmtRes!O49</f>
        <v>т</v>
      </c>
      <c r="I34">
        <f>SmtRes!Y49*Source!I79</f>
        <v>9.58E-3</v>
      </c>
      <c r="J34">
        <f>SmtRes!AO49</f>
        <v>1</v>
      </c>
      <c r="K34">
        <f>SmtRes!AE49</f>
        <v>5000.01</v>
      </c>
      <c r="L34">
        <f>SmtRes!DB49</f>
        <v>5</v>
      </c>
      <c r="M34">
        <f>ROUND(ROUND(L34*Source!I79, 2)*1, 2)</f>
        <v>47.9</v>
      </c>
      <c r="N34">
        <f>SmtRes!AA49</f>
        <v>42000.08</v>
      </c>
      <c r="O34">
        <f>ROUND(ROUND(L34*Source!I79, 2)*SmtRes!DA49, 2)</f>
        <v>402.36</v>
      </c>
      <c r="P34">
        <f>SmtRes!AG49</f>
        <v>0</v>
      </c>
      <c r="Q34">
        <f>SmtRes!DC49</f>
        <v>0</v>
      </c>
      <c r="R34">
        <f>ROUND(ROUND(Q34*Source!I79, 2)*1, 2)</f>
        <v>0</v>
      </c>
      <c r="S34">
        <f>SmtRes!AC49</f>
        <v>0</v>
      </c>
      <c r="T34">
        <f>ROUND(ROUND(Q34*Source!I79, 2)*SmtRes!AK49, 2)</f>
        <v>0</v>
      </c>
      <c r="U34">
        <f>SmtRes!X49</f>
        <v>-1452013394</v>
      </c>
      <c r="V34">
        <v>947646181</v>
      </c>
      <c r="W34">
        <v>1736812751</v>
      </c>
    </row>
    <row r="35" spans="1:23" x14ac:dyDescent="0.2">
      <c r="A35">
        <f>Source!A79</f>
        <v>17</v>
      </c>
      <c r="C35">
        <v>3</v>
      </c>
      <c r="D35">
        <v>0</v>
      </c>
      <c r="E35">
        <f>SmtRes!AV48</f>
        <v>0</v>
      </c>
      <c r="F35" t="str">
        <f>SmtRes!I48</f>
        <v>101-1641</v>
      </c>
      <c r="G35" t="str">
        <f>SmtRes!K48</f>
        <v>Сталь угловая равнополочная, марка стали ВСт3кп2, размером 50x50x5 мм</v>
      </c>
      <c r="H35" t="str">
        <f>SmtRes!O48</f>
        <v>т</v>
      </c>
      <c r="I35">
        <f>SmtRes!Y48*Source!I79</f>
        <v>9.5799999999999996E-2</v>
      </c>
      <c r="J35">
        <f>SmtRes!AO48</f>
        <v>1</v>
      </c>
      <c r="K35">
        <f>SmtRes!AE48</f>
        <v>5763</v>
      </c>
      <c r="L35">
        <f>SmtRes!DB48</f>
        <v>57.63</v>
      </c>
      <c r="M35">
        <f>ROUND(ROUND(L35*Source!I79, 2)*1, 2)</f>
        <v>552.1</v>
      </c>
      <c r="N35">
        <f>SmtRes!AA48</f>
        <v>34232.22</v>
      </c>
      <c r="O35">
        <f>ROUND(ROUND(L35*Source!I79, 2)*SmtRes!DA48, 2)</f>
        <v>3279.47</v>
      </c>
      <c r="P35">
        <f>SmtRes!AG48</f>
        <v>0</v>
      </c>
      <c r="Q35">
        <f>SmtRes!DC48</f>
        <v>0</v>
      </c>
      <c r="R35">
        <f>ROUND(ROUND(Q35*Source!I79, 2)*1, 2)</f>
        <v>0</v>
      </c>
      <c r="S35">
        <f>SmtRes!AC48</f>
        <v>0</v>
      </c>
      <c r="T35">
        <f>ROUND(ROUND(Q35*Source!I79, 2)*SmtRes!AK48, 2)</f>
        <v>0</v>
      </c>
      <c r="U35">
        <f>SmtRes!X48</f>
        <v>-906425608</v>
      </c>
      <c r="V35">
        <v>-1405149989</v>
      </c>
      <c r="W35">
        <v>1616356668</v>
      </c>
    </row>
    <row r="36" spans="1:23" x14ac:dyDescent="0.2">
      <c r="A36">
        <f>Source!A80</f>
        <v>17</v>
      </c>
      <c r="C36">
        <v>3</v>
      </c>
      <c r="D36">
        <v>0</v>
      </c>
      <c r="E36">
        <f>SmtRes!AV63</f>
        <v>0</v>
      </c>
      <c r="F36" t="str">
        <f>SmtRes!I63</f>
        <v>999-9950</v>
      </c>
      <c r="G36" t="str">
        <f>SmtRes!K63</f>
        <v>Вспомогательные ненормируемые материалы (2% от ОЗП)</v>
      </c>
      <c r="H36" t="str">
        <f>SmtRes!O63</f>
        <v>РУБ</v>
      </c>
      <c r="I36">
        <f>SmtRes!Y63*Source!I80</f>
        <v>3.1009999999999995</v>
      </c>
      <c r="J36">
        <f>SmtRes!AO63</f>
        <v>1</v>
      </c>
      <c r="K36">
        <f>SmtRes!AE63</f>
        <v>1</v>
      </c>
      <c r="L36">
        <f>SmtRes!DB63</f>
        <v>4.43</v>
      </c>
      <c r="M36">
        <f>ROUND(ROUND(L36*Source!I80, 2)*1, 2)</f>
        <v>3.1</v>
      </c>
      <c r="N36">
        <f>SmtRes!AA63</f>
        <v>1</v>
      </c>
      <c r="O36">
        <f>ROUND(ROUND(L36*Source!I80, 2)*SmtRes!DA63, 2)</f>
        <v>3.1</v>
      </c>
      <c r="P36">
        <f>SmtRes!AG63</f>
        <v>0</v>
      </c>
      <c r="Q36">
        <f>SmtRes!DC63</f>
        <v>0</v>
      </c>
      <c r="R36">
        <f>ROUND(ROUND(Q36*Source!I80, 2)*1, 2)</f>
        <v>0</v>
      </c>
      <c r="S36">
        <f>SmtRes!AC63</f>
        <v>0</v>
      </c>
      <c r="T36">
        <f>ROUND(ROUND(Q36*Source!I80, 2)*SmtRes!AK63, 2)</f>
        <v>0</v>
      </c>
      <c r="U36">
        <f>SmtRes!X63</f>
        <v>-915781824</v>
      </c>
      <c r="V36">
        <v>655047484</v>
      </c>
      <c r="W36">
        <v>655047484</v>
      </c>
    </row>
    <row r="37" spans="1:23" x14ac:dyDescent="0.2">
      <c r="A37">
        <f>Source!A80</f>
        <v>17</v>
      </c>
      <c r="C37">
        <v>3</v>
      </c>
      <c r="D37">
        <v>0</v>
      </c>
      <c r="E37">
        <f>SmtRes!AV62</f>
        <v>0</v>
      </c>
      <c r="F37" t="str">
        <f>SmtRes!I62</f>
        <v>506-1362</v>
      </c>
      <c r="G37" t="str">
        <f>SmtRes!K62</f>
        <v>Припои оловянно-свинцовые бессурьмянистые марки ПОС30</v>
      </c>
      <c r="H37" t="str">
        <f>SmtRes!O62</f>
        <v>кг</v>
      </c>
      <c r="I37">
        <f>SmtRes!Y62*Source!I80</f>
        <v>0.35</v>
      </c>
      <c r="J37">
        <f>SmtRes!AO62</f>
        <v>1</v>
      </c>
      <c r="K37">
        <f>SmtRes!AE62</f>
        <v>68.27</v>
      </c>
      <c r="L37">
        <f>SmtRes!DB62</f>
        <v>34.14</v>
      </c>
      <c r="M37">
        <f>ROUND(ROUND(L37*Source!I80, 2)*1, 2)</f>
        <v>23.9</v>
      </c>
      <c r="N37">
        <f>SmtRes!AA62</f>
        <v>527.04</v>
      </c>
      <c r="O37">
        <f>ROUND(ROUND(L37*Source!I80, 2)*SmtRes!DA62, 2)</f>
        <v>184.51</v>
      </c>
      <c r="P37">
        <f>SmtRes!AG62</f>
        <v>0</v>
      </c>
      <c r="Q37">
        <f>SmtRes!DC62</f>
        <v>0</v>
      </c>
      <c r="R37">
        <f>ROUND(ROUND(Q37*Source!I80, 2)*1, 2)</f>
        <v>0</v>
      </c>
      <c r="S37">
        <f>SmtRes!AC62</f>
        <v>0</v>
      </c>
      <c r="T37">
        <f>ROUND(ROUND(Q37*Source!I80, 2)*SmtRes!AK62, 2)</f>
        <v>0</v>
      </c>
      <c r="U37">
        <f>SmtRes!X62</f>
        <v>-993947972</v>
      </c>
      <c r="V37">
        <v>466183088</v>
      </c>
      <c r="W37">
        <v>705283067</v>
      </c>
    </row>
    <row r="38" spans="1:23" x14ac:dyDescent="0.2">
      <c r="A38">
        <f>Source!A80</f>
        <v>17</v>
      </c>
      <c r="C38">
        <v>3</v>
      </c>
      <c r="D38">
        <v>0</v>
      </c>
      <c r="E38">
        <f>SmtRes!AV61</f>
        <v>0</v>
      </c>
      <c r="F38" t="str">
        <f>SmtRes!I61</f>
        <v>113-1786</v>
      </c>
      <c r="G38" t="str">
        <f>SmtRes!K61</f>
        <v>Лак битумный БТ-123</v>
      </c>
      <c r="H38" t="str">
        <f>SmtRes!O61</f>
        <v>т</v>
      </c>
      <c r="I38">
        <f>SmtRes!Y61*Source!I80</f>
        <v>4.1999999999999998E-5</v>
      </c>
      <c r="J38">
        <f>SmtRes!AO61</f>
        <v>1</v>
      </c>
      <c r="K38">
        <f>SmtRes!AE61</f>
        <v>9073.89</v>
      </c>
      <c r="L38">
        <f>SmtRes!DB61</f>
        <v>0.54</v>
      </c>
      <c r="M38">
        <f>ROUND(ROUND(L38*Source!I80, 2)*1, 2)</f>
        <v>0.38</v>
      </c>
      <c r="N38">
        <f>SmtRes!AA61</f>
        <v>85748.26</v>
      </c>
      <c r="O38">
        <f>ROUND(ROUND(L38*Source!I80, 2)*SmtRes!DA61, 2)</f>
        <v>3.59</v>
      </c>
      <c r="P38">
        <f>SmtRes!AG61</f>
        <v>0</v>
      </c>
      <c r="Q38">
        <f>SmtRes!DC61</f>
        <v>0</v>
      </c>
      <c r="R38">
        <f>ROUND(ROUND(Q38*Source!I80, 2)*1, 2)</f>
        <v>0</v>
      </c>
      <c r="S38">
        <f>SmtRes!AC61</f>
        <v>0</v>
      </c>
      <c r="T38">
        <f>ROUND(ROUND(Q38*Source!I80, 2)*SmtRes!AK61, 2)</f>
        <v>0</v>
      </c>
      <c r="U38">
        <f>SmtRes!X61</f>
        <v>-2033855571</v>
      </c>
      <c r="V38">
        <v>-82772239</v>
      </c>
      <c r="W38">
        <v>-588559898</v>
      </c>
    </row>
    <row r="39" spans="1:23" x14ac:dyDescent="0.2">
      <c r="A39">
        <f>Source!A80</f>
        <v>17</v>
      </c>
      <c r="C39">
        <v>3</v>
      </c>
      <c r="D39">
        <v>0</v>
      </c>
      <c r="E39">
        <f>SmtRes!AV60</f>
        <v>0</v>
      </c>
      <c r="F39" t="str">
        <f>SmtRes!I60</f>
        <v>101-2478</v>
      </c>
      <c r="G39" t="str">
        <f>SmtRes!K60</f>
        <v>Лента К226</v>
      </c>
      <c r="H39" t="str">
        <f>SmtRes!O60</f>
        <v>100 м</v>
      </c>
      <c r="I39">
        <f>SmtRes!Y60*Source!I80</f>
        <v>6.7199999999999994E-3</v>
      </c>
      <c r="J39">
        <f>SmtRes!AO60</f>
        <v>1</v>
      </c>
      <c r="K39">
        <f>SmtRes!AE60</f>
        <v>120.36</v>
      </c>
      <c r="L39">
        <f>SmtRes!DB60</f>
        <v>1.1599999999999999</v>
      </c>
      <c r="M39">
        <f>ROUND(ROUND(L39*Source!I80, 2)*1, 2)</f>
        <v>0.81</v>
      </c>
      <c r="N39">
        <f>SmtRes!AA60</f>
        <v>565.69000000000005</v>
      </c>
      <c r="O39">
        <f>ROUND(ROUND(L39*Source!I80, 2)*SmtRes!DA60, 2)</f>
        <v>3.81</v>
      </c>
      <c r="P39">
        <f>SmtRes!AG60</f>
        <v>0</v>
      </c>
      <c r="Q39">
        <f>SmtRes!DC60</f>
        <v>0</v>
      </c>
      <c r="R39">
        <f>ROUND(ROUND(Q39*Source!I80, 2)*1, 2)</f>
        <v>0</v>
      </c>
      <c r="S39">
        <f>SmtRes!AC60</f>
        <v>0</v>
      </c>
      <c r="T39">
        <f>ROUND(ROUND(Q39*Source!I80, 2)*SmtRes!AK60, 2)</f>
        <v>0</v>
      </c>
      <c r="U39">
        <f>SmtRes!X60</f>
        <v>611857035</v>
      </c>
      <c r="V39">
        <v>-1221827425</v>
      </c>
      <c r="W39">
        <v>53189039</v>
      </c>
    </row>
    <row r="40" spans="1:23" x14ac:dyDescent="0.2">
      <c r="A40">
        <f>Source!A81</f>
        <v>17</v>
      </c>
      <c r="C40">
        <v>3</v>
      </c>
      <c r="D40">
        <v>0</v>
      </c>
      <c r="E40">
        <f>SmtRes!AV74</f>
        <v>0</v>
      </c>
      <c r="F40" t="str">
        <f>SmtRes!I74</f>
        <v>999-9950</v>
      </c>
      <c r="G40" t="str">
        <f>SmtRes!K74</f>
        <v>Вспомогательные ненормируемые материалы (2% от ОЗП)</v>
      </c>
      <c r="H40" t="str">
        <f>SmtRes!O74</f>
        <v>РУБ</v>
      </c>
      <c r="I40">
        <f>SmtRes!Y74*Source!I81</f>
        <v>0.56159999999999999</v>
      </c>
      <c r="J40">
        <f>SmtRes!AO74</f>
        <v>1</v>
      </c>
      <c r="K40">
        <f>SmtRes!AE74</f>
        <v>1</v>
      </c>
      <c r="L40">
        <f>SmtRes!DB74</f>
        <v>4.68</v>
      </c>
      <c r="M40">
        <f>ROUND(ROUND(L40*Source!I81, 2)*1, 2)</f>
        <v>0.56000000000000005</v>
      </c>
      <c r="N40">
        <f>SmtRes!AA74</f>
        <v>1</v>
      </c>
      <c r="O40">
        <f>ROUND(ROUND(L40*Source!I81, 2)*SmtRes!DA74, 2)</f>
        <v>0.56000000000000005</v>
      </c>
      <c r="P40">
        <f>SmtRes!AG74</f>
        <v>0</v>
      </c>
      <c r="Q40">
        <f>SmtRes!DC74</f>
        <v>0</v>
      </c>
      <c r="R40">
        <f>ROUND(ROUND(Q40*Source!I81, 2)*1, 2)</f>
        <v>0</v>
      </c>
      <c r="S40">
        <f>SmtRes!AC74</f>
        <v>0</v>
      </c>
      <c r="T40">
        <f>ROUND(ROUND(Q40*Source!I81, 2)*SmtRes!AK74, 2)</f>
        <v>0</v>
      </c>
      <c r="U40">
        <f>SmtRes!X74</f>
        <v>-915781824</v>
      </c>
      <c r="V40">
        <v>655047484</v>
      </c>
      <c r="W40">
        <v>655047484</v>
      </c>
    </row>
    <row r="41" spans="1:23" x14ac:dyDescent="0.2">
      <c r="A41">
        <f>Source!A81</f>
        <v>17</v>
      </c>
      <c r="C41">
        <v>3</v>
      </c>
      <c r="D41">
        <v>0</v>
      </c>
      <c r="E41">
        <f>SmtRes!AV73</f>
        <v>0</v>
      </c>
      <c r="F41" t="str">
        <f>SmtRes!I73</f>
        <v>506-1362</v>
      </c>
      <c r="G41" t="str">
        <f>SmtRes!K73</f>
        <v>Припои оловянно-свинцовые бессурьмянистые марки ПОС30</v>
      </c>
      <c r="H41" t="str">
        <f>SmtRes!O73</f>
        <v>кг</v>
      </c>
      <c r="I41">
        <f>SmtRes!Y73*Source!I81</f>
        <v>0.06</v>
      </c>
      <c r="J41">
        <f>SmtRes!AO73</f>
        <v>1</v>
      </c>
      <c r="K41">
        <f>SmtRes!AE73</f>
        <v>68.27</v>
      </c>
      <c r="L41">
        <f>SmtRes!DB73</f>
        <v>34.14</v>
      </c>
      <c r="M41">
        <f>ROUND(ROUND(L41*Source!I81, 2)*1, 2)</f>
        <v>4.0999999999999996</v>
      </c>
      <c r="N41">
        <f>SmtRes!AA73</f>
        <v>527.04</v>
      </c>
      <c r="O41">
        <f>ROUND(ROUND(L41*Source!I81, 2)*SmtRes!DA73, 2)</f>
        <v>31.65</v>
      </c>
      <c r="P41">
        <f>SmtRes!AG73</f>
        <v>0</v>
      </c>
      <c r="Q41">
        <f>SmtRes!DC73</f>
        <v>0</v>
      </c>
      <c r="R41">
        <f>ROUND(ROUND(Q41*Source!I81, 2)*1, 2)</f>
        <v>0</v>
      </c>
      <c r="S41">
        <f>SmtRes!AC73</f>
        <v>0</v>
      </c>
      <c r="T41">
        <f>ROUND(ROUND(Q41*Source!I81, 2)*SmtRes!AK73, 2)</f>
        <v>0</v>
      </c>
      <c r="U41">
        <f>SmtRes!X73</f>
        <v>-993947972</v>
      </c>
      <c r="V41">
        <v>466183088</v>
      </c>
      <c r="W41">
        <v>705283067</v>
      </c>
    </row>
    <row r="42" spans="1:23" x14ac:dyDescent="0.2">
      <c r="A42">
        <f>Source!A81</f>
        <v>17</v>
      </c>
      <c r="C42">
        <v>3</v>
      </c>
      <c r="D42">
        <v>0</v>
      </c>
      <c r="E42">
        <f>SmtRes!AV72</f>
        <v>0</v>
      </c>
      <c r="F42" t="str">
        <f>SmtRes!I72</f>
        <v>113-1786</v>
      </c>
      <c r="G42" t="str">
        <f>SmtRes!K72</f>
        <v>Лак битумный БТ-123</v>
      </c>
      <c r="H42" t="str">
        <f>SmtRes!O72</f>
        <v>т</v>
      </c>
      <c r="I42">
        <f>SmtRes!Y72*Source!I81</f>
        <v>3.456E-4</v>
      </c>
      <c r="J42">
        <f>SmtRes!AO72</f>
        <v>1</v>
      </c>
      <c r="K42">
        <f>SmtRes!AE72</f>
        <v>9073.89</v>
      </c>
      <c r="L42">
        <f>SmtRes!DB72</f>
        <v>26.13</v>
      </c>
      <c r="M42">
        <f>ROUND(ROUND(L42*Source!I81, 2)*1, 2)</f>
        <v>3.14</v>
      </c>
      <c r="N42">
        <f>SmtRes!AA72</f>
        <v>85748.26</v>
      </c>
      <c r="O42">
        <f>ROUND(ROUND(L42*Source!I81, 2)*SmtRes!DA72, 2)</f>
        <v>29.67</v>
      </c>
      <c r="P42">
        <f>SmtRes!AG72</f>
        <v>0</v>
      </c>
      <c r="Q42">
        <f>SmtRes!DC72</f>
        <v>0</v>
      </c>
      <c r="R42">
        <f>ROUND(ROUND(Q42*Source!I81, 2)*1, 2)</f>
        <v>0</v>
      </c>
      <c r="S42">
        <f>SmtRes!AC72</f>
        <v>0</v>
      </c>
      <c r="T42">
        <f>ROUND(ROUND(Q42*Source!I81, 2)*SmtRes!AK72, 2)</f>
        <v>0</v>
      </c>
      <c r="U42">
        <f>SmtRes!X72</f>
        <v>-2033855571</v>
      </c>
      <c r="V42">
        <v>-82772239</v>
      </c>
      <c r="W42">
        <v>-588559898</v>
      </c>
    </row>
    <row r="43" spans="1:23" x14ac:dyDescent="0.2">
      <c r="A43">
        <f>Source!A81</f>
        <v>17</v>
      </c>
      <c r="C43">
        <v>3</v>
      </c>
      <c r="D43">
        <v>0</v>
      </c>
      <c r="E43">
        <f>SmtRes!AV71</f>
        <v>0</v>
      </c>
      <c r="F43" t="str">
        <f>SmtRes!I71</f>
        <v>101-2478</v>
      </c>
      <c r="G43" t="str">
        <f>SmtRes!K71</f>
        <v>Лента К226</v>
      </c>
      <c r="H43" t="str">
        <f>SmtRes!O71</f>
        <v>100 м</v>
      </c>
      <c r="I43">
        <f>SmtRes!Y71*Source!I81</f>
        <v>2.9399999999999999E-3</v>
      </c>
      <c r="J43">
        <f>SmtRes!AO71</f>
        <v>1</v>
      </c>
      <c r="K43">
        <f>SmtRes!AE71</f>
        <v>120.36</v>
      </c>
      <c r="L43">
        <f>SmtRes!DB71</f>
        <v>2.95</v>
      </c>
      <c r="M43">
        <f>ROUND(ROUND(L43*Source!I81, 2)*1, 2)</f>
        <v>0.35</v>
      </c>
      <c r="N43">
        <f>SmtRes!AA71</f>
        <v>565.69000000000005</v>
      </c>
      <c r="O43">
        <f>ROUND(ROUND(L43*Source!I81, 2)*SmtRes!DA71, 2)</f>
        <v>1.65</v>
      </c>
      <c r="P43">
        <f>SmtRes!AG71</f>
        <v>0</v>
      </c>
      <c r="Q43">
        <f>SmtRes!DC71</f>
        <v>0</v>
      </c>
      <c r="R43">
        <f>ROUND(ROUND(Q43*Source!I81, 2)*1, 2)</f>
        <v>0</v>
      </c>
      <c r="S43">
        <f>SmtRes!AC71</f>
        <v>0</v>
      </c>
      <c r="T43">
        <f>ROUND(ROUND(Q43*Source!I81, 2)*SmtRes!AK71, 2)</f>
        <v>0</v>
      </c>
      <c r="U43">
        <f>SmtRes!X71</f>
        <v>611857035</v>
      </c>
      <c r="V43">
        <v>-1221827425</v>
      </c>
      <c r="W43">
        <v>53189039</v>
      </c>
    </row>
    <row r="44" spans="1:23" x14ac:dyDescent="0.2">
      <c r="A44">
        <f>Source!A82</f>
        <v>17</v>
      </c>
      <c r="C44">
        <v>3</v>
      </c>
      <c r="D44">
        <v>0</v>
      </c>
      <c r="E44">
        <f>SmtRes!AV83</f>
        <v>0</v>
      </c>
      <c r="F44" t="str">
        <f>SmtRes!I83</f>
        <v>999-9950</v>
      </c>
      <c r="G44" t="str">
        <f>SmtRes!K83</f>
        <v>Вспомогательные ненормируемые материалы (2% от ОЗП)</v>
      </c>
      <c r="H44" t="str">
        <f>SmtRes!O83</f>
        <v>РУБ</v>
      </c>
      <c r="I44">
        <f>SmtRes!Y83*Source!I82</f>
        <v>2.2650000000000001</v>
      </c>
      <c r="J44">
        <f>SmtRes!AO83</f>
        <v>1</v>
      </c>
      <c r="K44">
        <f>SmtRes!AE83</f>
        <v>1</v>
      </c>
      <c r="L44">
        <f>SmtRes!DB83</f>
        <v>0.03</v>
      </c>
      <c r="M44">
        <f>ROUND(ROUND(L44*Source!I82, 2)*1, 2)</f>
        <v>2.27</v>
      </c>
      <c r="N44">
        <f>SmtRes!AA83</f>
        <v>1</v>
      </c>
      <c r="O44">
        <f>ROUND(ROUND(L44*Source!I82, 2)*SmtRes!DA83, 2)</f>
        <v>2.27</v>
      </c>
      <c r="P44">
        <f>SmtRes!AG83</f>
        <v>0</v>
      </c>
      <c r="Q44">
        <f>SmtRes!DC83</f>
        <v>0</v>
      </c>
      <c r="R44">
        <f>ROUND(ROUND(Q44*Source!I82, 2)*1, 2)</f>
        <v>0</v>
      </c>
      <c r="S44">
        <f>SmtRes!AC83</f>
        <v>0</v>
      </c>
      <c r="T44">
        <f>ROUND(ROUND(Q44*Source!I82, 2)*SmtRes!AK83, 2)</f>
        <v>0</v>
      </c>
      <c r="U44">
        <f>SmtRes!X83</f>
        <v>-915781824</v>
      </c>
      <c r="V44">
        <v>655047484</v>
      </c>
      <c r="W44">
        <v>655047484</v>
      </c>
    </row>
    <row r="45" spans="1:23" x14ac:dyDescent="0.2">
      <c r="A45">
        <f>Source!A82</f>
        <v>17</v>
      </c>
      <c r="C45">
        <v>3</v>
      </c>
      <c r="D45">
        <v>0</v>
      </c>
      <c r="E45">
        <f>SmtRes!AV82</f>
        <v>0</v>
      </c>
      <c r="F45" t="str">
        <f>SmtRes!I82</f>
        <v>509-0090</v>
      </c>
      <c r="G45" t="str">
        <f>SmtRes!K82</f>
        <v>Перемычки гибкие, тип ПГС-50</v>
      </c>
      <c r="H45" t="str">
        <f>SmtRes!O82</f>
        <v>10 шт.</v>
      </c>
      <c r="I45">
        <f>SmtRes!Y82*Source!I82</f>
        <v>7.5500000000000007</v>
      </c>
      <c r="J45">
        <f>SmtRes!AO82</f>
        <v>1</v>
      </c>
      <c r="K45">
        <f>SmtRes!AE82</f>
        <v>40.9</v>
      </c>
      <c r="L45">
        <f>SmtRes!DB82</f>
        <v>4.09</v>
      </c>
      <c r="M45">
        <f>ROUND(ROUND(L45*Source!I82, 2)*1, 2)</f>
        <v>308.8</v>
      </c>
      <c r="N45">
        <f>SmtRes!AA82</f>
        <v>993.87</v>
      </c>
      <c r="O45">
        <f>ROUND(ROUND(L45*Source!I82, 2)*SmtRes!DA82, 2)</f>
        <v>7503.84</v>
      </c>
      <c r="P45">
        <f>SmtRes!AG82</f>
        <v>0</v>
      </c>
      <c r="Q45">
        <f>SmtRes!DC82</f>
        <v>0</v>
      </c>
      <c r="R45">
        <f>ROUND(ROUND(Q45*Source!I82, 2)*1, 2)</f>
        <v>0</v>
      </c>
      <c r="S45">
        <f>SmtRes!AC82</f>
        <v>0</v>
      </c>
      <c r="T45">
        <f>ROUND(ROUND(Q45*Source!I82, 2)*SmtRes!AK82, 2)</f>
        <v>0</v>
      </c>
      <c r="U45">
        <f>SmtRes!X82</f>
        <v>-1035860104</v>
      </c>
      <c r="V45">
        <v>629134803</v>
      </c>
      <c r="W45">
        <v>290375950</v>
      </c>
    </row>
    <row r="46" spans="1:23" x14ac:dyDescent="0.2">
      <c r="A46">
        <f>Source!A82</f>
        <v>17</v>
      </c>
      <c r="C46">
        <v>3</v>
      </c>
      <c r="D46">
        <v>0</v>
      </c>
      <c r="E46">
        <f>SmtRes!AV81</f>
        <v>0</v>
      </c>
      <c r="F46" t="str">
        <f>SmtRes!I81</f>
        <v>101-3914</v>
      </c>
      <c r="G46" t="str">
        <f>SmtRes!K81</f>
        <v>Дюбели распорные полипропиленовые</v>
      </c>
      <c r="H46" t="str">
        <f>SmtRes!O81</f>
        <v>100 шт.</v>
      </c>
      <c r="I46">
        <f>SmtRes!Y81*Source!I82</f>
        <v>0.755</v>
      </c>
      <c r="J46">
        <f>SmtRes!AO81</f>
        <v>1</v>
      </c>
      <c r="K46">
        <f>SmtRes!AE81</f>
        <v>86.24</v>
      </c>
      <c r="L46">
        <f>SmtRes!DB81</f>
        <v>0.86</v>
      </c>
      <c r="M46">
        <f>ROUND(ROUND(L46*Source!I82, 2)*1, 2)</f>
        <v>64.930000000000007</v>
      </c>
      <c r="N46">
        <f>SmtRes!AA81</f>
        <v>54.33</v>
      </c>
      <c r="O46">
        <f>ROUND(ROUND(L46*Source!I82, 2)*SmtRes!DA81, 2)</f>
        <v>40.909999999999997</v>
      </c>
      <c r="P46">
        <f>SmtRes!AG81</f>
        <v>0</v>
      </c>
      <c r="Q46">
        <f>SmtRes!DC81</f>
        <v>0</v>
      </c>
      <c r="R46">
        <f>ROUND(ROUND(Q46*Source!I82, 2)*1, 2)</f>
        <v>0</v>
      </c>
      <c r="S46">
        <f>SmtRes!AC81</f>
        <v>0</v>
      </c>
      <c r="T46">
        <f>ROUND(ROUND(Q46*Source!I82, 2)*SmtRes!AK81, 2)</f>
        <v>0</v>
      </c>
      <c r="U46">
        <f>SmtRes!X81</f>
        <v>1627582661</v>
      </c>
      <c r="V46">
        <v>-1739481354</v>
      </c>
      <c r="W46">
        <v>1303852590</v>
      </c>
    </row>
    <row r="47" spans="1:23" x14ac:dyDescent="0.2">
      <c r="A47">
        <f>Source!A82</f>
        <v>17</v>
      </c>
      <c r="C47">
        <v>3</v>
      </c>
      <c r="D47">
        <v>0</v>
      </c>
      <c r="E47">
        <f>SmtRes!AV80</f>
        <v>0</v>
      </c>
      <c r="F47" t="str">
        <f>SmtRes!I80</f>
        <v>101-2143</v>
      </c>
      <c r="G47" t="str">
        <f>SmtRes!K80</f>
        <v>Краска</v>
      </c>
      <c r="H47" t="str">
        <f>SmtRes!O80</f>
        <v>кг</v>
      </c>
      <c r="I47">
        <f>SmtRes!Y80*Source!I82</f>
        <v>1.51</v>
      </c>
      <c r="J47">
        <f>SmtRes!AO80</f>
        <v>1</v>
      </c>
      <c r="K47">
        <f>SmtRes!AE80</f>
        <v>28.67</v>
      </c>
      <c r="L47">
        <f>SmtRes!DB80</f>
        <v>0.56999999999999995</v>
      </c>
      <c r="M47">
        <f>ROUND(ROUND(L47*Source!I82, 2)*1, 2)</f>
        <v>43.04</v>
      </c>
      <c r="N47">
        <f>SmtRes!AA80</f>
        <v>63.36</v>
      </c>
      <c r="O47">
        <f>ROUND(ROUND(L47*Source!I82, 2)*SmtRes!DA80, 2)</f>
        <v>95.12</v>
      </c>
      <c r="P47">
        <f>SmtRes!AG80</f>
        <v>0</v>
      </c>
      <c r="Q47">
        <f>SmtRes!DC80</f>
        <v>0</v>
      </c>
      <c r="R47">
        <f>ROUND(ROUND(Q47*Source!I82, 2)*1, 2)</f>
        <v>0</v>
      </c>
      <c r="S47">
        <f>SmtRes!AC80</f>
        <v>0</v>
      </c>
      <c r="T47">
        <f>ROUND(ROUND(Q47*Source!I82, 2)*SmtRes!AK80, 2)</f>
        <v>0</v>
      </c>
      <c r="U47">
        <f>SmtRes!X80</f>
        <v>-1768004575</v>
      </c>
      <c r="V47">
        <v>1217422333</v>
      </c>
      <c r="W47">
        <v>1617004271</v>
      </c>
    </row>
    <row r="48" spans="1:23" x14ac:dyDescent="0.2">
      <c r="A48">
        <f>Source!A82</f>
        <v>17</v>
      </c>
      <c r="C48">
        <v>3</v>
      </c>
      <c r="D48">
        <v>0</v>
      </c>
      <c r="E48">
        <f>SmtRes!AV79</f>
        <v>0</v>
      </c>
      <c r="F48" t="str">
        <f>SmtRes!I79</f>
        <v>101-1977</v>
      </c>
      <c r="G48" t="str">
        <f>SmtRes!K79</f>
        <v>Болты с гайками и шайбами строительные</v>
      </c>
      <c r="H48" t="str">
        <f>SmtRes!O79</f>
        <v>кг</v>
      </c>
      <c r="I48">
        <f>SmtRes!Y79*Source!I82</f>
        <v>8.0030000000000001</v>
      </c>
      <c r="J48">
        <f>SmtRes!AO79</f>
        <v>1</v>
      </c>
      <c r="K48">
        <f>SmtRes!AE79</f>
        <v>9.0399999999999991</v>
      </c>
      <c r="L48">
        <f>SmtRes!DB79</f>
        <v>0.96</v>
      </c>
      <c r="M48">
        <f>ROUND(ROUND(L48*Source!I82, 2)*1, 2)</f>
        <v>72.48</v>
      </c>
      <c r="N48">
        <f>SmtRes!AA79</f>
        <v>79.64</v>
      </c>
      <c r="O48">
        <f>ROUND(ROUND(L48*Source!I82, 2)*SmtRes!DA79, 2)</f>
        <v>638.54999999999995</v>
      </c>
      <c r="P48">
        <f>SmtRes!AG79</f>
        <v>0</v>
      </c>
      <c r="Q48">
        <f>SmtRes!DC79</f>
        <v>0</v>
      </c>
      <c r="R48">
        <f>ROUND(ROUND(Q48*Source!I82, 2)*1, 2)</f>
        <v>0</v>
      </c>
      <c r="S48">
        <f>SmtRes!AC79</f>
        <v>0</v>
      </c>
      <c r="T48">
        <f>ROUND(ROUND(Q48*Source!I82, 2)*SmtRes!AK79, 2)</f>
        <v>0</v>
      </c>
      <c r="U48">
        <f>SmtRes!X79</f>
        <v>30920770</v>
      </c>
      <c r="V48">
        <v>-2016438031</v>
      </c>
      <c r="W48">
        <v>-965331088</v>
      </c>
    </row>
    <row r="49" spans="1:23" x14ac:dyDescent="0.2">
      <c r="A49">
        <f>Source!A83</f>
        <v>18</v>
      </c>
      <c r="C49">
        <v>3</v>
      </c>
      <c r="D49">
        <f>Source!BI83</f>
        <v>1</v>
      </c>
      <c r="E49">
        <f>Source!FS83</f>
        <v>0</v>
      </c>
      <c r="F49" t="str">
        <f>Source!F83</f>
        <v>101-1642</v>
      </c>
      <c r="G49" t="str">
        <f>Source!G83</f>
        <v>Сталь угловая равнополочная, марка стали ВСт3кп2, размером 100х100х10 мм</v>
      </c>
      <c r="H49" t="str">
        <f>Source!H83</f>
        <v>т</v>
      </c>
      <c r="I49">
        <f>Source!I83</f>
        <v>7.5499999999999998E-2</v>
      </c>
      <c r="J49">
        <v>1</v>
      </c>
      <c r="K49">
        <f>Source!AC83</f>
        <v>5763</v>
      </c>
      <c r="M49">
        <f>ROUND(K49*I49, 2)</f>
        <v>435.11</v>
      </c>
      <c r="N49">
        <f>Source!AC83*IF(Source!BC83&lt;&gt; 0, Source!BC83, 1)</f>
        <v>33483.03</v>
      </c>
      <c r="O49">
        <f>ROUND(N49*I49, 2)</f>
        <v>2527.9699999999998</v>
      </c>
      <c r="P49">
        <f>Source!AE83</f>
        <v>0</v>
      </c>
      <c r="R49">
        <f>ROUND(P49*I49, 2)</f>
        <v>0</v>
      </c>
      <c r="S49">
        <f>Source!AE83*IF(Source!BS83&lt;&gt; 0, Source!BS83, 1)</f>
        <v>0</v>
      </c>
      <c r="T49">
        <f>ROUND(S49*I49, 2)</f>
        <v>0</v>
      </c>
      <c r="U49">
        <f>Source!GF83</f>
        <v>-1845425206</v>
      </c>
      <c r="V49">
        <v>411470277</v>
      </c>
      <c r="W49">
        <v>1273054236</v>
      </c>
    </row>
    <row r="50" spans="1:23" x14ac:dyDescent="0.2">
      <c r="A50">
        <f>Source!A84</f>
        <v>17</v>
      </c>
      <c r="C50">
        <v>3</v>
      </c>
      <c r="D50">
        <v>0</v>
      </c>
      <c r="E50">
        <f>SmtRes!AV92</f>
        <v>0</v>
      </c>
      <c r="F50" t="str">
        <f>SmtRes!I92</f>
        <v>999-9950</v>
      </c>
      <c r="G50" t="str">
        <f>SmtRes!K92</f>
        <v>Вспомогательные ненормируемые материалы (2% от ОЗП)</v>
      </c>
      <c r="H50" t="str">
        <f>SmtRes!O92</f>
        <v>РУБ</v>
      </c>
      <c r="I50">
        <f>SmtRes!Y92*Source!I84</f>
        <v>2.34</v>
      </c>
      <c r="J50">
        <f>SmtRes!AO92</f>
        <v>1</v>
      </c>
      <c r="K50">
        <f>SmtRes!AE92</f>
        <v>1</v>
      </c>
      <c r="L50">
        <f>SmtRes!DB92</f>
        <v>1.17</v>
      </c>
      <c r="M50">
        <f>ROUND(ROUND(L50*Source!I84, 2)*1, 2)</f>
        <v>2.34</v>
      </c>
      <c r="N50">
        <f>SmtRes!AA92</f>
        <v>1</v>
      </c>
      <c r="O50">
        <f>ROUND(ROUND(L50*Source!I84, 2)*SmtRes!DA92, 2)</f>
        <v>2.34</v>
      </c>
      <c r="P50">
        <f>SmtRes!AG92</f>
        <v>0</v>
      </c>
      <c r="Q50">
        <f>SmtRes!DC92</f>
        <v>0</v>
      </c>
      <c r="R50">
        <f>ROUND(ROUND(Q50*Source!I84, 2)*1, 2)</f>
        <v>0</v>
      </c>
      <c r="S50">
        <f>SmtRes!AC92</f>
        <v>0</v>
      </c>
      <c r="T50">
        <f>ROUND(ROUND(Q50*Source!I84, 2)*SmtRes!AK92, 2)</f>
        <v>0</v>
      </c>
      <c r="U50">
        <f>SmtRes!X92</f>
        <v>-915781824</v>
      </c>
      <c r="V50">
        <v>655047484</v>
      </c>
      <c r="W50">
        <v>655047484</v>
      </c>
    </row>
    <row r="51" spans="1:23" x14ac:dyDescent="0.2">
      <c r="A51">
        <f>Source!A84</f>
        <v>17</v>
      </c>
      <c r="C51">
        <v>3</v>
      </c>
      <c r="D51">
        <v>0</v>
      </c>
      <c r="E51">
        <f>SmtRes!AV91</f>
        <v>0</v>
      </c>
      <c r="F51" t="str">
        <f>SmtRes!I91</f>
        <v>509-1206</v>
      </c>
      <c r="G51" t="str">
        <f>SmtRes!K91</f>
        <v>Парафины нефтяные твердые марки Т-1</v>
      </c>
      <c r="H51" t="str">
        <f>SmtRes!O91</f>
        <v>т</v>
      </c>
      <c r="I51">
        <f>SmtRes!Y91*Source!I84</f>
        <v>2.0000000000000002E-5</v>
      </c>
      <c r="J51">
        <f>SmtRes!AO91</f>
        <v>1</v>
      </c>
      <c r="K51">
        <f>SmtRes!AE91</f>
        <v>7679.6</v>
      </c>
      <c r="L51">
        <f>SmtRes!DB91</f>
        <v>0.08</v>
      </c>
      <c r="M51">
        <f>ROUND(ROUND(L51*Source!I84, 2)*1, 2)</f>
        <v>0.16</v>
      </c>
      <c r="N51">
        <f>SmtRes!AA91</f>
        <v>47997.5</v>
      </c>
      <c r="O51">
        <f>ROUND(ROUND(L51*Source!I84, 2)*SmtRes!DA91, 2)</f>
        <v>1</v>
      </c>
      <c r="P51">
        <f>SmtRes!AG91</f>
        <v>0</v>
      </c>
      <c r="Q51">
        <f>SmtRes!DC91</f>
        <v>0</v>
      </c>
      <c r="R51">
        <f>ROUND(ROUND(Q51*Source!I84, 2)*1, 2)</f>
        <v>0</v>
      </c>
      <c r="S51">
        <f>SmtRes!AC91</f>
        <v>0</v>
      </c>
      <c r="T51">
        <f>ROUND(ROUND(Q51*Source!I84, 2)*SmtRes!AK91, 2)</f>
        <v>0</v>
      </c>
      <c r="U51">
        <f>SmtRes!X91</f>
        <v>1704105755</v>
      </c>
      <c r="V51">
        <v>-1900313754</v>
      </c>
      <c r="W51">
        <v>-986409645</v>
      </c>
    </row>
    <row r="52" spans="1:23" x14ac:dyDescent="0.2">
      <c r="A52">
        <f>Source!A84</f>
        <v>17</v>
      </c>
      <c r="C52">
        <v>3</v>
      </c>
      <c r="D52">
        <v>0</v>
      </c>
      <c r="E52">
        <f>SmtRes!AV90</f>
        <v>0</v>
      </c>
      <c r="F52" t="str">
        <f>SmtRes!I90</f>
        <v>101-2478</v>
      </c>
      <c r="G52" t="str">
        <f>SmtRes!K90</f>
        <v>Лента К226</v>
      </c>
      <c r="H52" t="str">
        <f>SmtRes!O90</f>
        <v>100 м</v>
      </c>
      <c r="I52">
        <f>SmtRes!Y90*Source!I84</f>
        <v>4.7999999999999996E-3</v>
      </c>
      <c r="J52">
        <f>SmtRes!AO90</f>
        <v>1</v>
      </c>
      <c r="K52">
        <f>SmtRes!AE90</f>
        <v>120.36</v>
      </c>
      <c r="L52">
        <f>SmtRes!DB90</f>
        <v>0.28999999999999998</v>
      </c>
      <c r="M52">
        <f>ROUND(ROUND(L52*Source!I84, 2)*1, 2)</f>
        <v>0.57999999999999996</v>
      </c>
      <c r="N52">
        <f>SmtRes!AA90</f>
        <v>565.69000000000005</v>
      </c>
      <c r="O52">
        <f>ROUND(ROUND(L52*Source!I84, 2)*SmtRes!DA90, 2)</f>
        <v>2.73</v>
      </c>
      <c r="P52">
        <f>SmtRes!AG90</f>
        <v>0</v>
      </c>
      <c r="Q52">
        <f>SmtRes!DC90</f>
        <v>0</v>
      </c>
      <c r="R52">
        <f>ROUND(ROUND(Q52*Source!I84, 2)*1, 2)</f>
        <v>0</v>
      </c>
      <c r="S52">
        <f>SmtRes!AC90</f>
        <v>0</v>
      </c>
      <c r="T52">
        <f>ROUND(ROUND(Q52*Source!I84, 2)*SmtRes!AK90, 2)</f>
        <v>0</v>
      </c>
      <c r="U52">
        <f>SmtRes!X90</f>
        <v>611857035</v>
      </c>
      <c r="V52">
        <v>-1221827425</v>
      </c>
      <c r="W52">
        <v>53189039</v>
      </c>
    </row>
    <row r="53" spans="1:23" x14ac:dyDescent="0.2">
      <c r="A53">
        <f>Source!A84</f>
        <v>17</v>
      </c>
      <c r="C53">
        <v>3</v>
      </c>
      <c r="D53">
        <v>0</v>
      </c>
      <c r="E53">
        <f>SmtRes!AV89</f>
        <v>0</v>
      </c>
      <c r="F53" t="str">
        <f>SmtRes!I89</f>
        <v>101-0069</v>
      </c>
      <c r="G53" t="str">
        <f>SmtRes!K89</f>
        <v>Бензин авиационный Б-70</v>
      </c>
      <c r="H53" t="str">
        <f>SmtRes!O89</f>
        <v>т</v>
      </c>
      <c r="I53">
        <f>SmtRes!Y89*Source!I84</f>
        <v>8.0000000000000004E-4</v>
      </c>
      <c r="J53">
        <f>SmtRes!AO89</f>
        <v>1</v>
      </c>
      <c r="K53">
        <f>SmtRes!AE89</f>
        <v>4488.3999999999996</v>
      </c>
      <c r="L53">
        <f>SmtRes!DB89</f>
        <v>1.8</v>
      </c>
      <c r="M53">
        <f>ROUND(ROUND(L53*Source!I84, 2)*1, 2)</f>
        <v>3.6</v>
      </c>
      <c r="N53">
        <f>SmtRes!AA89</f>
        <v>72083.7</v>
      </c>
      <c r="O53">
        <f>ROUND(ROUND(L53*Source!I84, 2)*SmtRes!DA89, 2)</f>
        <v>57.82</v>
      </c>
      <c r="P53">
        <f>SmtRes!AG89</f>
        <v>0</v>
      </c>
      <c r="Q53">
        <f>SmtRes!DC89</f>
        <v>0</v>
      </c>
      <c r="R53">
        <f>ROUND(ROUND(Q53*Source!I84, 2)*1, 2)</f>
        <v>0</v>
      </c>
      <c r="S53">
        <f>SmtRes!AC89</f>
        <v>0</v>
      </c>
      <c r="T53">
        <f>ROUND(ROUND(Q53*Source!I84, 2)*SmtRes!AK89, 2)</f>
        <v>0</v>
      </c>
      <c r="U53">
        <f>SmtRes!X89</f>
        <v>-859150690</v>
      </c>
      <c r="V53">
        <v>1466585956</v>
      </c>
      <c r="W53">
        <v>1654082501</v>
      </c>
    </row>
    <row r="54" spans="1:23" x14ac:dyDescent="0.2">
      <c r="A54">
        <f>Source!A85</f>
        <v>17</v>
      </c>
      <c r="C54">
        <v>3</v>
      </c>
      <c r="D54">
        <v>0</v>
      </c>
      <c r="E54">
        <f>SmtRes!AV94</f>
        <v>0</v>
      </c>
      <c r="F54" t="str">
        <f>SmtRes!I94</f>
        <v>999-9950</v>
      </c>
      <c r="G54" t="str">
        <f>SmtRes!K94</f>
        <v>Вспомогательные ненормируемые материалы (2% от ОЗП)</v>
      </c>
      <c r="H54" t="str">
        <f>SmtRes!O94</f>
        <v>РУБ</v>
      </c>
      <c r="I54">
        <f>SmtRes!Y94*Source!I85</f>
        <v>0.35099999999999998</v>
      </c>
      <c r="J54">
        <f>SmtRes!AO94</f>
        <v>1</v>
      </c>
      <c r="K54">
        <f>SmtRes!AE94</f>
        <v>1</v>
      </c>
      <c r="L54">
        <f>SmtRes!DB94</f>
        <v>5.85</v>
      </c>
      <c r="M54">
        <f>ROUND(ROUND(L54*Source!I85, 2)*1, 2)</f>
        <v>0.35</v>
      </c>
      <c r="N54">
        <f>SmtRes!AA94</f>
        <v>1</v>
      </c>
      <c r="O54">
        <f>ROUND(ROUND(L54*Source!I85, 2)*SmtRes!DA94, 2)</f>
        <v>0.35</v>
      </c>
      <c r="P54">
        <f>SmtRes!AG94</f>
        <v>0</v>
      </c>
      <c r="Q54">
        <f>SmtRes!DC94</f>
        <v>0</v>
      </c>
      <c r="R54">
        <f>ROUND(ROUND(Q54*Source!I85, 2)*1, 2)</f>
        <v>0</v>
      </c>
      <c r="S54">
        <f>SmtRes!AC94</f>
        <v>0</v>
      </c>
      <c r="T54">
        <f>ROUND(ROUND(Q54*Source!I85, 2)*SmtRes!AK94, 2)</f>
        <v>0</v>
      </c>
      <c r="U54">
        <f>SmtRes!X94</f>
        <v>-915781824</v>
      </c>
      <c r="V54">
        <v>655047484</v>
      </c>
      <c r="W54">
        <v>655047484</v>
      </c>
    </row>
    <row r="55" spans="1:23" x14ac:dyDescent="0.2">
      <c r="A55">
        <f>Source!A86</f>
        <v>17</v>
      </c>
      <c r="C55">
        <v>3</v>
      </c>
      <c r="D55">
        <v>0</v>
      </c>
      <c r="E55">
        <f>SmtRes!AV103</f>
        <v>0</v>
      </c>
      <c r="F55" t="str">
        <f>SmtRes!I103</f>
        <v>999-9950</v>
      </c>
      <c r="G55" t="str">
        <f>SmtRes!K103</f>
        <v>Вспомогательные ненормируемые материалы (2% от ОЗП)</v>
      </c>
      <c r="H55" t="str">
        <f>SmtRes!O103</f>
        <v>РУБ</v>
      </c>
      <c r="I55">
        <f>SmtRes!Y103*Source!I86</f>
        <v>0.121</v>
      </c>
      <c r="J55">
        <f>SmtRes!AO103</f>
        <v>1</v>
      </c>
      <c r="K55">
        <f>SmtRes!AE103</f>
        <v>1</v>
      </c>
      <c r="L55">
        <f>SmtRes!DB103</f>
        <v>6.05</v>
      </c>
      <c r="M55">
        <f>ROUND(ROUND(L55*Source!I86, 2)*1, 2)</f>
        <v>0.12</v>
      </c>
      <c r="N55">
        <f>SmtRes!AA103</f>
        <v>1</v>
      </c>
      <c r="O55">
        <f>ROUND(ROUND(L55*Source!I86, 2)*SmtRes!DA103, 2)</f>
        <v>0.12</v>
      </c>
      <c r="P55">
        <f>SmtRes!AG103</f>
        <v>0</v>
      </c>
      <c r="Q55">
        <f>SmtRes!DC103</f>
        <v>0</v>
      </c>
      <c r="R55">
        <f>ROUND(ROUND(Q55*Source!I86, 2)*1, 2)</f>
        <v>0</v>
      </c>
      <c r="S55">
        <f>SmtRes!AC103</f>
        <v>0</v>
      </c>
      <c r="T55">
        <f>ROUND(ROUND(Q55*Source!I86, 2)*SmtRes!AK103, 2)</f>
        <v>0</v>
      </c>
      <c r="U55">
        <f>SmtRes!X103</f>
        <v>-915781824</v>
      </c>
      <c r="V55">
        <v>655047484</v>
      </c>
      <c r="W55">
        <v>655047484</v>
      </c>
    </row>
    <row r="56" spans="1:23" x14ac:dyDescent="0.2">
      <c r="A56">
        <f>Source!A86</f>
        <v>17</v>
      </c>
      <c r="C56">
        <v>3</v>
      </c>
      <c r="D56">
        <v>0</v>
      </c>
      <c r="E56">
        <f>SmtRes!AV101</f>
        <v>0</v>
      </c>
      <c r="F56" t="str">
        <f>SmtRes!I101</f>
        <v>101-4621</v>
      </c>
      <c r="G56" t="str">
        <f>SmtRes!K101</f>
        <v>Шуруп самонарезающий (LN) 3,5/11 мм</v>
      </c>
      <c r="H56" t="str">
        <f>SmtRes!O101</f>
        <v>100 шт.</v>
      </c>
      <c r="I56">
        <f>SmtRes!Y101*Source!I86</f>
        <v>4.0800000000000003E-2</v>
      </c>
      <c r="J56">
        <f>SmtRes!AO101</f>
        <v>1</v>
      </c>
      <c r="K56">
        <f>SmtRes!AE101</f>
        <v>2</v>
      </c>
      <c r="L56">
        <f>SmtRes!DB101</f>
        <v>4.08</v>
      </c>
      <c r="M56">
        <f>ROUND(ROUND(L56*Source!I86, 2)*1, 2)</f>
        <v>0.08</v>
      </c>
      <c r="N56">
        <f>SmtRes!AA101</f>
        <v>22.4</v>
      </c>
      <c r="O56">
        <f>ROUND(ROUND(L56*Source!I86, 2)*SmtRes!DA101, 2)</f>
        <v>0.9</v>
      </c>
      <c r="P56">
        <f>SmtRes!AG101</f>
        <v>0</v>
      </c>
      <c r="Q56">
        <f>SmtRes!DC101</f>
        <v>0</v>
      </c>
      <c r="R56">
        <f>ROUND(ROUND(Q56*Source!I86, 2)*1, 2)</f>
        <v>0</v>
      </c>
      <c r="S56">
        <f>SmtRes!AC101</f>
        <v>0</v>
      </c>
      <c r="T56">
        <f>ROUND(ROUND(Q56*Source!I86, 2)*SmtRes!AK101, 2)</f>
        <v>0</v>
      </c>
      <c r="U56">
        <f>SmtRes!X101</f>
        <v>1454712393</v>
      </c>
      <c r="V56">
        <v>282458438</v>
      </c>
      <c r="W56">
        <v>-2013529542</v>
      </c>
    </row>
    <row r="57" spans="1:23" x14ac:dyDescent="0.2">
      <c r="A57">
        <f>Source!A86</f>
        <v>17</v>
      </c>
      <c r="C57">
        <v>3</v>
      </c>
      <c r="D57">
        <v>0</v>
      </c>
      <c r="E57">
        <f>SmtRes!AV100</f>
        <v>0</v>
      </c>
      <c r="F57" t="str">
        <f>SmtRes!I100</f>
        <v>101-3914</v>
      </c>
      <c r="G57" t="str">
        <f>SmtRes!K100</f>
        <v>Дюбели распорные полипропиленовые</v>
      </c>
      <c r="H57" t="str">
        <f>SmtRes!O100</f>
        <v>100 шт.</v>
      </c>
      <c r="I57">
        <f>SmtRes!Y100*Source!I86</f>
        <v>4.0800000000000003E-2</v>
      </c>
      <c r="J57">
        <f>SmtRes!AO100</f>
        <v>1</v>
      </c>
      <c r="K57">
        <f>SmtRes!AE100</f>
        <v>86.24</v>
      </c>
      <c r="L57">
        <f>SmtRes!DB100</f>
        <v>175.93</v>
      </c>
      <c r="M57">
        <f>ROUND(ROUND(L57*Source!I86, 2)*1, 2)</f>
        <v>3.52</v>
      </c>
      <c r="N57">
        <f>SmtRes!AA100</f>
        <v>54.33</v>
      </c>
      <c r="O57">
        <f>ROUND(ROUND(L57*Source!I86, 2)*SmtRes!DA100, 2)</f>
        <v>2.2200000000000002</v>
      </c>
      <c r="P57">
        <f>SmtRes!AG100</f>
        <v>0</v>
      </c>
      <c r="Q57">
        <f>SmtRes!DC100</f>
        <v>0</v>
      </c>
      <c r="R57">
        <f>ROUND(ROUND(Q57*Source!I86, 2)*1, 2)</f>
        <v>0</v>
      </c>
      <c r="S57">
        <f>SmtRes!AC100</f>
        <v>0</v>
      </c>
      <c r="T57">
        <f>ROUND(ROUND(Q57*Source!I86, 2)*SmtRes!AK100, 2)</f>
        <v>0</v>
      </c>
      <c r="U57">
        <f>SmtRes!X100</f>
        <v>1627582661</v>
      </c>
      <c r="V57">
        <v>-1739481354</v>
      </c>
      <c r="W57">
        <v>1303852590</v>
      </c>
    </row>
    <row r="58" spans="1:23" x14ac:dyDescent="0.2">
      <c r="A58">
        <f>Source!A87</f>
        <v>18</v>
      </c>
      <c r="C58">
        <v>3</v>
      </c>
      <c r="D58">
        <f>Source!BI87</f>
        <v>2</v>
      </c>
      <c r="E58">
        <f>Source!FS87</f>
        <v>0</v>
      </c>
      <c r="F58" t="str">
        <f>Source!F87</f>
        <v>502-9079-13507</v>
      </c>
      <c r="G58" t="str">
        <f>Source!G87</f>
        <v>Провод неизолированный гибкий МГ 25 мм2</v>
      </c>
      <c r="H58" t="str">
        <f>Source!H87</f>
        <v>1000 м</v>
      </c>
      <c r="I58">
        <f>Source!I87</f>
        <v>2E-3</v>
      </c>
      <c r="J58">
        <v>1</v>
      </c>
      <c r="K58">
        <f>Source!AC87</f>
        <v>170083.12</v>
      </c>
      <c r="M58">
        <f>ROUND(K58*I58, 2)</f>
        <v>340.17</v>
      </c>
      <c r="N58">
        <f>Source!AC87*IF(Source!BC87&lt;&gt; 0, Source!BC87, 1)</f>
        <v>170083.12</v>
      </c>
      <c r="O58">
        <f>ROUND(N58*I58, 2)</f>
        <v>340.17</v>
      </c>
      <c r="P58">
        <f>Source!AE87</f>
        <v>0</v>
      </c>
      <c r="R58">
        <f>ROUND(P58*I58, 2)</f>
        <v>0</v>
      </c>
      <c r="S58">
        <f>Source!AE87*IF(Source!BS87&lt;&gt; 0, Source!BS87, 1)</f>
        <v>0</v>
      </c>
      <c r="T58">
        <f>ROUND(S58*I58, 2)</f>
        <v>0</v>
      </c>
      <c r="U58">
        <f>Source!GF87</f>
        <v>1950066811</v>
      </c>
      <c r="V58">
        <v>1060920071</v>
      </c>
      <c r="W58">
        <v>1060920071</v>
      </c>
    </row>
    <row r="59" spans="1:23" x14ac:dyDescent="0.2">
      <c r="A59">
        <f>Source!A88</f>
        <v>17</v>
      </c>
      <c r="C59">
        <v>3</v>
      </c>
      <c r="D59">
        <v>0</v>
      </c>
      <c r="E59">
        <f>SmtRes!AV113</f>
        <v>0</v>
      </c>
      <c r="F59" t="str">
        <f>SmtRes!I113</f>
        <v>999-9950</v>
      </c>
      <c r="G59" t="str">
        <f>SmtRes!K113</f>
        <v>Вспомогательные ненормируемые материалы (2% от ОЗП)</v>
      </c>
      <c r="H59" t="str">
        <f>SmtRes!O113</f>
        <v>РУБ</v>
      </c>
      <c r="I59">
        <f>SmtRes!Y113*Source!I88</f>
        <v>4.53</v>
      </c>
      <c r="J59">
        <f>SmtRes!AO113</f>
        <v>1</v>
      </c>
      <c r="K59">
        <f>SmtRes!AE113</f>
        <v>1</v>
      </c>
      <c r="L59">
        <f>SmtRes!DB113</f>
        <v>1.51</v>
      </c>
      <c r="M59">
        <f>ROUND(ROUND(L59*Source!I88, 2)*1, 2)</f>
        <v>4.53</v>
      </c>
      <c r="N59">
        <f>SmtRes!AA113</f>
        <v>1</v>
      </c>
      <c r="O59">
        <f>ROUND(ROUND(L59*Source!I88, 2)*SmtRes!DA113, 2)</f>
        <v>4.53</v>
      </c>
      <c r="P59">
        <f>SmtRes!AG113</f>
        <v>0</v>
      </c>
      <c r="Q59">
        <f>SmtRes!DC113</f>
        <v>0</v>
      </c>
      <c r="R59">
        <f>ROUND(ROUND(Q59*Source!I88, 2)*1, 2)</f>
        <v>0</v>
      </c>
      <c r="S59">
        <f>SmtRes!AC113</f>
        <v>0</v>
      </c>
      <c r="T59">
        <f>ROUND(ROUND(Q59*Source!I88, 2)*SmtRes!AK113, 2)</f>
        <v>0</v>
      </c>
      <c r="U59">
        <f>SmtRes!X113</f>
        <v>-915781824</v>
      </c>
      <c r="V59">
        <v>655047484</v>
      </c>
      <c r="W59">
        <v>655047484</v>
      </c>
    </row>
    <row r="60" spans="1:23" x14ac:dyDescent="0.2">
      <c r="A60">
        <f>Source!A88</f>
        <v>17</v>
      </c>
      <c r="C60">
        <v>3</v>
      </c>
      <c r="D60">
        <v>0</v>
      </c>
      <c r="E60">
        <f>SmtRes!AV111</f>
        <v>0</v>
      </c>
      <c r="F60" t="str">
        <f>SmtRes!I111</f>
        <v>509-1660</v>
      </c>
      <c r="G60" t="str">
        <f>SmtRes!K111</f>
        <v>Гильза кабельная медная ГМ 120</v>
      </c>
      <c r="H60" t="str">
        <f>SmtRes!O111</f>
        <v>100 шт.</v>
      </c>
      <c r="I60">
        <f>SmtRes!Y111*Source!I88</f>
        <v>9.2999999999999999E-2</v>
      </c>
      <c r="J60">
        <f>SmtRes!AO111</f>
        <v>1</v>
      </c>
      <c r="K60">
        <f>SmtRes!AE111</f>
        <v>1356</v>
      </c>
      <c r="L60">
        <f>SmtRes!DB111</f>
        <v>42.04</v>
      </c>
      <c r="M60">
        <f>ROUND(ROUND(L60*Source!I88, 2)*1, 2)</f>
        <v>126.12</v>
      </c>
      <c r="N60">
        <f>SmtRes!AA111</f>
        <v>6617.28</v>
      </c>
      <c r="O60">
        <f>ROUND(ROUND(L60*Source!I88, 2)*SmtRes!DA111, 2)</f>
        <v>615.47</v>
      </c>
      <c r="P60">
        <f>SmtRes!AG111</f>
        <v>0</v>
      </c>
      <c r="Q60">
        <f>SmtRes!DC111</f>
        <v>0</v>
      </c>
      <c r="R60">
        <f>ROUND(ROUND(Q60*Source!I88, 2)*1, 2)</f>
        <v>0</v>
      </c>
      <c r="S60">
        <f>SmtRes!AC111</f>
        <v>0</v>
      </c>
      <c r="T60">
        <f>ROUND(ROUND(Q60*Source!I88, 2)*SmtRes!AK111, 2)</f>
        <v>0</v>
      </c>
      <c r="U60">
        <f>SmtRes!X111</f>
        <v>-233835936</v>
      </c>
      <c r="V60">
        <v>-500809212</v>
      </c>
      <c r="W60">
        <v>-998644571</v>
      </c>
    </row>
    <row r="61" spans="1:23" x14ac:dyDescent="0.2">
      <c r="A61">
        <f>Source!A88</f>
        <v>17</v>
      </c>
      <c r="C61">
        <v>3</v>
      </c>
      <c r="D61">
        <v>0</v>
      </c>
      <c r="E61">
        <f>SmtRes!AV110</f>
        <v>0</v>
      </c>
      <c r="F61" t="str">
        <f>SmtRes!I110</f>
        <v>509-1206</v>
      </c>
      <c r="G61" t="str">
        <f>SmtRes!K110</f>
        <v>Парафины нефтяные твердые марки Т-1</v>
      </c>
      <c r="H61" t="str">
        <f>SmtRes!O110</f>
        <v>т</v>
      </c>
      <c r="I61">
        <f>SmtRes!Y110*Source!I88</f>
        <v>6.0000000000000008E-5</v>
      </c>
      <c r="J61">
        <f>SmtRes!AO110</f>
        <v>1</v>
      </c>
      <c r="K61">
        <f>SmtRes!AE110</f>
        <v>7679.6</v>
      </c>
      <c r="L61">
        <f>SmtRes!DB110</f>
        <v>0.15</v>
      </c>
      <c r="M61">
        <f>ROUND(ROUND(L61*Source!I88, 2)*1, 2)</f>
        <v>0.45</v>
      </c>
      <c r="N61">
        <f>SmtRes!AA110</f>
        <v>47997.5</v>
      </c>
      <c r="O61">
        <f>ROUND(ROUND(L61*Source!I88, 2)*SmtRes!DA110, 2)</f>
        <v>2.81</v>
      </c>
      <c r="P61">
        <f>SmtRes!AG110</f>
        <v>0</v>
      </c>
      <c r="Q61">
        <f>SmtRes!DC110</f>
        <v>0</v>
      </c>
      <c r="R61">
        <f>ROUND(ROUND(Q61*Source!I88, 2)*1, 2)</f>
        <v>0</v>
      </c>
      <c r="S61">
        <f>SmtRes!AC110</f>
        <v>0</v>
      </c>
      <c r="T61">
        <f>ROUND(ROUND(Q61*Source!I88, 2)*SmtRes!AK110, 2)</f>
        <v>0</v>
      </c>
      <c r="U61">
        <f>SmtRes!X110</f>
        <v>1704105755</v>
      </c>
      <c r="V61">
        <v>-1900313754</v>
      </c>
      <c r="W61">
        <v>-986409645</v>
      </c>
    </row>
    <row r="62" spans="1:23" x14ac:dyDescent="0.2">
      <c r="A62">
        <f>Source!A88</f>
        <v>17</v>
      </c>
      <c r="C62">
        <v>3</v>
      </c>
      <c r="D62">
        <v>0</v>
      </c>
      <c r="E62">
        <f>SmtRes!AV109</f>
        <v>0</v>
      </c>
      <c r="F62" t="str">
        <f>SmtRes!I109</f>
        <v>101-2478</v>
      </c>
      <c r="G62" t="str">
        <f>SmtRes!K109</f>
        <v>Лента К226</v>
      </c>
      <c r="H62" t="str">
        <f>SmtRes!O109</f>
        <v>100 м</v>
      </c>
      <c r="I62">
        <f>SmtRes!Y109*Source!I88</f>
        <v>7.1999999999999998E-3</v>
      </c>
      <c r="J62">
        <f>SmtRes!AO109</f>
        <v>1</v>
      </c>
      <c r="K62">
        <f>SmtRes!AE109</f>
        <v>120.36</v>
      </c>
      <c r="L62">
        <f>SmtRes!DB109</f>
        <v>0.28999999999999998</v>
      </c>
      <c r="M62">
        <f>ROUND(ROUND(L62*Source!I88, 2)*1, 2)</f>
        <v>0.87</v>
      </c>
      <c r="N62">
        <f>SmtRes!AA109</f>
        <v>565.69000000000005</v>
      </c>
      <c r="O62">
        <f>ROUND(ROUND(L62*Source!I88, 2)*SmtRes!DA109, 2)</f>
        <v>4.09</v>
      </c>
      <c r="P62">
        <f>SmtRes!AG109</f>
        <v>0</v>
      </c>
      <c r="Q62">
        <f>SmtRes!DC109</f>
        <v>0</v>
      </c>
      <c r="R62">
        <f>ROUND(ROUND(Q62*Source!I88, 2)*1, 2)</f>
        <v>0</v>
      </c>
      <c r="S62">
        <f>SmtRes!AC109</f>
        <v>0</v>
      </c>
      <c r="T62">
        <f>ROUND(ROUND(Q62*Source!I88, 2)*SmtRes!AK109, 2)</f>
        <v>0</v>
      </c>
      <c r="U62">
        <f>SmtRes!X109</f>
        <v>611857035</v>
      </c>
      <c r="V62">
        <v>-1221827425</v>
      </c>
      <c r="W62">
        <v>53189039</v>
      </c>
    </row>
    <row r="63" spans="1:23" x14ac:dyDescent="0.2">
      <c r="A63">
        <f>Source!A88</f>
        <v>17</v>
      </c>
      <c r="C63">
        <v>3</v>
      </c>
      <c r="D63">
        <v>0</v>
      </c>
      <c r="E63">
        <f>SmtRes!AV108</f>
        <v>0</v>
      </c>
      <c r="F63" t="str">
        <f>SmtRes!I108</f>
        <v>101-0069</v>
      </c>
      <c r="G63" t="str">
        <f>SmtRes!K108</f>
        <v>Бензин авиационный Б-70</v>
      </c>
      <c r="H63" t="str">
        <f>SmtRes!O108</f>
        <v>т</v>
      </c>
      <c r="I63">
        <f>SmtRes!Y108*Source!I88</f>
        <v>2.4000000000000002E-3</v>
      </c>
      <c r="J63">
        <f>SmtRes!AO108</f>
        <v>1</v>
      </c>
      <c r="K63">
        <f>SmtRes!AE108</f>
        <v>4488.3999999999996</v>
      </c>
      <c r="L63">
        <f>SmtRes!DB108</f>
        <v>3.59</v>
      </c>
      <c r="M63">
        <f>ROUND(ROUND(L63*Source!I88, 2)*1, 2)</f>
        <v>10.77</v>
      </c>
      <c r="N63">
        <f>SmtRes!AA108</f>
        <v>72083.7</v>
      </c>
      <c r="O63">
        <f>ROUND(ROUND(L63*Source!I88, 2)*SmtRes!DA108, 2)</f>
        <v>172.97</v>
      </c>
      <c r="P63">
        <f>SmtRes!AG108</f>
        <v>0</v>
      </c>
      <c r="Q63">
        <f>SmtRes!DC108</f>
        <v>0</v>
      </c>
      <c r="R63">
        <f>ROUND(ROUND(Q63*Source!I88, 2)*1, 2)</f>
        <v>0</v>
      </c>
      <c r="S63">
        <f>SmtRes!AC108</f>
        <v>0</v>
      </c>
      <c r="T63">
        <f>ROUND(ROUND(Q63*Source!I88, 2)*SmtRes!AK108, 2)</f>
        <v>0</v>
      </c>
      <c r="U63">
        <f>SmtRes!X108</f>
        <v>-859150690</v>
      </c>
      <c r="V63">
        <v>1466585956</v>
      </c>
      <c r="W63">
        <v>1654082501</v>
      </c>
    </row>
    <row r="64" spans="1:23" x14ac:dyDescent="0.2">
      <c r="A64">
        <f>Source!A89</f>
        <v>18</v>
      </c>
      <c r="C64">
        <v>3</v>
      </c>
      <c r="D64">
        <f>Source!BI89</f>
        <v>2</v>
      </c>
      <c r="E64">
        <f>Source!FS89</f>
        <v>0</v>
      </c>
      <c r="F64" t="str">
        <f>Source!F89</f>
        <v>509-1660</v>
      </c>
      <c r="G64" t="str">
        <f>Source!G89</f>
        <v>Гильза кабельная медная ГМ 120</v>
      </c>
      <c r="H64" t="str">
        <f>Source!H89</f>
        <v>100 шт.</v>
      </c>
      <c r="I64">
        <f>Source!I89</f>
        <v>-9.2999999999999999E-2</v>
      </c>
      <c r="J64">
        <v>1</v>
      </c>
      <c r="K64">
        <f>Source!AC89</f>
        <v>1356</v>
      </c>
      <c r="M64">
        <f>ROUND(K64*I64, 2)</f>
        <v>-126.11</v>
      </c>
      <c r="N64">
        <f>Source!AC89*IF(Source!BC89&lt;&gt; 0, Source!BC89, 1)</f>
        <v>6617.28</v>
      </c>
      <c r="O64">
        <f>ROUND(N64*I64, 2)</f>
        <v>-615.41</v>
      </c>
      <c r="P64">
        <f>Source!AE89</f>
        <v>0</v>
      </c>
      <c r="R64">
        <f>ROUND(P64*I64, 2)</f>
        <v>0</v>
      </c>
      <c r="S64">
        <f>Source!AE89*IF(Source!BS89&lt;&gt; 0, Source!BS89, 1)</f>
        <v>0</v>
      </c>
      <c r="T64">
        <f>ROUND(S64*I64, 2)</f>
        <v>0</v>
      </c>
      <c r="U64">
        <f>Source!GF89</f>
        <v>-233835936</v>
      </c>
      <c r="V64">
        <v>-500809212</v>
      </c>
      <c r="W64">
        <v>-998644571</v>
      </c>
    </row>
    <row r="65" spans="1:23" x14ac:dyDescent="0.2">
      <c r="A65">
        <f>Source!A90</f>
        <v>17</v>
      </c>
      <c r="C65">
        <v>3</v>
      </c>
      <c r="D65">
        <v>0</v>
      </c>
      <c r="E65">
        <f>SmtRes!AV116</f>
        <v>0</v>
      </c>
      <c r="F65" t="str">
        <f>SmtRes!I116</f>
        <v>101-8100-1</v>
      </c>
      <c r="G65" t="str">
        <f>SmtRes!K116</f>
        <v>Плита для закрытия кабеля напряжением до 35КВ из высоконаполненной полимерной композиции, с надписью "Осторожно кабель", ПЗК 480х240х16мм</v>
      </c>
      <c r="H65" t="str">
        <f>SmtRes!O116</f>
        <v>шт.</v>
      </c>
      <c r="I65">
        <f>SmtRes!Y116*Source!I90</f>
        <v>1973.48</v>
      </c>
      <c r="J65">
        <f>SmtRes!AO116</f>
        <v>1</v>
      </c>
      <c r="K65">
        <f>SmtRes!AE116</f>
        <v>7</v>
      </c>
      <c r="L65">
        <f>SmtRes!DB116</f>
        <v>1442</v>
      </c>
      <c r="M65">
        <f>ROUND(ROUND(L65*Source!I90, 2)*1, 2)</f>
        <v>13814.36</v>
      </c>
      <c r="N65">
        <f>SmtRes!AA116</f>
        <v>7</v>
      </c>
      <c r="O65">
        <f>ROUND(ROUND(L65*Source!I90, 2)*SmtRes!DA116, 2)</f>
        <v>13814.36</v>
      </c>
      <c r="P65">
        <f>SmtRes!AG116</f>
        <v>0</v>
      </c>
      <c r="Q65">
        <f>SmtRes!DC116</f>
        <v>0</v>
      </c>
      <c r="R65">
        <f>ROUND(ROUND(Q65*Source!I90, 2)*1, 2)</f>
        <v>0</v>
      </c>
      <c r="S65">
        <f>SmtRes!AC116</f>
        <v>0</v>
      </c>
      <c r="T65">
        <f>ROUND(ROUND(Q65*Source!I90, 2)*SmtRes!AK116, 2)</f>
        <v>0</v>
      </c>
      <c r="U65">
        <f>SmtRes!X116</f>
        <v>-2035091058</v>
      </c>
      <c r="V65">
        <v>-320720624</v>
      </c>
      <c r="W65">
        <v>-320720624</v>
      </c>
    </row>
    <row r="66" spans="1:23" x14ac:dyDescent="0.2">
      <c r="A66">
        <f>Source!A121</f>
        <v>4</v>
      </c>
      <c r="B66">
        <v>121</v>
      </c>
      <c r="G66" t="str">
        <f>Source!G121</f>
        <v>Пусконаладочные работы</v>
      </c>
    </row>
    <row r="67" spans="1:23" x14ac:dyDescent="0.2">
      <c r="A67">
        <f>Source!A157</f>
        <v>4</v>
      </c>
      <c r="B67">
        <v>157</v>
      </c>
      <c r="G67" t="str">
        <f>Source!G157</f>
        <v>Материалы Заказчика</v>
      </c>
    </row>
    <row r="68" spans="1:23" x14ac:dyDescent="0.2">
      <c r="A68">
        <f>Source!A161</f>
        <v>17</v>
      </c>
      <c r="C68">
        <v>3</v>
      </c>
      <c r="D68">
        <f>Source!BI161</f>
        <v>1</v>
      </c>
      <c r="E68">
        <f>Source!FS161</f>
        <v>0</v>
      </c>
      <c r="F68" t="str">
        <f>Source!F161</f>
        <v/>
      </c>
      <c r="G68" t="str">
        <f>Source!G161</f>
        <v>Кабель АПвБП 3х95/16-10</v>
      </c>
      <c r="H68" t="str">
        <f>Source!H161</f>
        <v>м</v>
      </c>
      <c r="I68">
        <f>Source!I161</f>
        <v>1040</v>
      </c>
      <c r="J68">
        <v>1</v>
      </c>
      <c r="K68">
        <f>Source!AC161</f>
        <v>755</v>
      </c>
      <c r="M68">
        <f>ROUND(K68*I68, 2)</f>
        <v>785200</v>
      </c>
      <c r="N68">
        <f>Source!AC161*IF(Source!BC161&lt;&gt; 0, Source!BC161, 1)</f>
        <v>755</v>
      </c>
      <c r="O68">
        <f>ROUND(N68*I68, 2)</f>
        <v>785200</v>
      </c>
      <c r="P68">
        <f>Source!AE161</f>
        <v>0</v>
      </c>
      <c r="R68">
        <f>ROUND(P68*I68, 2)</f>
        <v>0</v>
      </c>
      <c r="S68">
        <f>Source!AE161*IF(Source!BS161&lt;&gt; 0, Source!BS161, 1)</f>
        <v>0</v>
      </c>
      <c r="T68">
        <f>ROUND(S68*I68, 2)</f>
        <v>0</v>
      </c>
      <c r="U68">
        <f>Source!GF161</f>
        <v>-1568333028</v>
      </c>
      <c r="V68">
        <v>-605545368</v>
      </c>
      <c r="W68">
        <v>-605545368</v>
      </c>
    </row>
    <row r="69" spans="1:23" x14ac:dyDescent="0.2">
      <c r="A69">
        <f>Source!A192</f>
        <v>4</v>
      </c>
      <c r="B69">
        <v>192</v>
      </c>
      <c r="G69" t="str">
        <f>Source!G192</f>
        <v>Материалы не учтенные ценником</v>
      </c>
    </row>
    <row r="70" spans="1:23" x14ac:dyDescent="0.2">
      <c r="A70">
        <f>Source!A196</f>
        <v>17</v>
      </c>
      <c r="C70">
        <v>3</v>
      </c>
      <c r="D70">
        <f>Source!BI196</f>
        <v>1</v>
      </c>
      <c r="E70">
        <f>Source!FS196</f>
        <v>0</v>
      </c>
      <c r="F70" t="str">
        <f>Source!F196</f>
        <v/>
      </c>
      <c r="G70" t="str">
        <f>Source!G196</f>
        <v>Муфта соединительная  СТП-10 70/120</v>
      </c>
      <c r="H70" t="str">
        <f>Source!H196</f>
        <v>ШТ</v>
      </c>
      <c r="I70">
        <f>Source!I196</f>
        <v>3</v>
      </c>
      <c r="J70">
        <v>1</v>
      </c>
      <c r="K70">
        <f>Source!AC196</f>
        <v>3165</v>
      </c>
      <c r="M70">
        <f>ROUND(K70*I70, 2)</f>
        <v>9495</v>
      </c>
      <c r="N70">
        <f>Source!AC196*IF(Source!BC196&lt;&gt; 0, Source!BC196, 1)</f>
        <v>3165</v>
      </c>
      <c r="O70">
        <f>ROUND(N70*I70, 2)</f>
        <v>9495</v>
      </c>
      <c r="P70">
        <f>Source!AE196</f>
        <v>0</v>
      </c>
      <c r="R70">
        <f>ROUND(P70*I70, 2)</f>
        <v>0</v>
      </c>
      <c r="S70">
        <f>Source!AE196*IF(Source!BS196&lt;&gt; 0, Source!BS196, 1)</f>
        <v>0</v>
      </c>
      <c r="T70">
        <f>ROUND(S70*I70, 2)</f>
        <v>0</v>
      </c>
      <c r="U70">
        <f>Source!GF196</f>
        <v>-644401372</v>
      </c>
      <c r="V70">
        <v>-340017142</v>
      </c>
      <c r="W70">
        <v>-340017142</v>
      </c>
    </row>
    <row r="71" spans="1:23" x14ac:dyDescent="0.2">
      <c r="A71">
        <f>Source!A197</f>
        <v>17</v>
      </c>
      <c r="C71">
        <v>3</v>
      </c>
      <c r="D71">
        <f>Source!BI197</f>
        <v>1</v>
      </c>
      <c r="E71">
        <f>Source!FS197</f>
        <v>0</v>
      </c>
      <c r="F71" t="str">
        <f>Source!F197</f>
        <v/>
      </c>
      <c r="G71" t="str">
        <f>Source!G197</f>
        <v>Муфта концевая КНтП-10 70/120</v>
      </c>
      <c r="H71" t="str">
        <f>Source!H197</f>
        <v>ШТ</v>
      </c>
      <c r="I71">
        <f>Source!I197</f>
        <v>2</v>
      </c>
      <c r="J71">
        <v>1</v>
      </c>
      <c r="K71">
        <f>Source!AC197</f>
        <v>1699</v>
      </c>
      <c r="M71">
        <f>ROUND(K71*I71, 2)</f>
        <v>3398</v>
      </c>
      <c r="N71">
        <f>Source!AC197*IF(Source!BC197&lt;&gt; 0, Source!BC197, 1)</f>
        <v>1699</v>
      </c>
      <c r="O71">
        <f>ROUND(N71*I71, 2)</f>
        <v>3398</v>
      </c>
      <c r="P71">
        <f>Source!AE197</f>
        <v>0</v>
      </c>
      <c r="R71">
        <f>ROUND(P71*I71, 2)</f>
        <v>0</v>
      </c>
      <c r="S71">
        <f>Source!AE197*IF(Source!BS197&lt;&gt; 0, Source!BS197, 1)</f>
        <v>0</v>
      </c>
      <c r="T71">
        <f>ROUND(S71*I71, 2)</f>
        <v>0</v>
      </c>
      <c r="U71">
        <f>Source!GF197</f>
        <v>-1157495179</v>
      </c>
      <c r="V71">
        <v>162060224</v>
      </c>
      <c r="W71">
        <v>162060224</v>
      </c>
    </row>
    <row r="72" spans="1:23" x14ac:dyDescent="0.2">
      <c r="A72">
        <v>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8"/>
  <sheetViews>
    <sheetView workbookViewId="0"/>
  </sheetViews>
  <sheetFormatPr defaultRowHeight="12.75" x14ac:dyDescent="0.2"/>
  <cols>
    <col min="1" max="1" width="12.7109375" customWidth="1"/>
    <col min="2" max="2" width="40.7109375" customWidth="1"/>
    <col min="3" max="6" width="12.7109375" customWidth="1"/>
    <col min="15" max="15" width="103.7109375" hidden="1" customWidth="1"/>
    <col min="16" max="18" width="0" hidden="1" customWidth="1"/>
  </cols>
  <sheetData>
    <row r="2" spans="1:17" ht="16.5" x14ac:dyDescent="0.2">
      <c r="A2" s="126" t="s">
        <v>640</v>
      </c>
      <c r="B2" s="127"/>
      <c r="C2" s="127"/>
      <c r="D2" s="127"/>
      <c r="E2" s="127"/>
      <c r="F2" s="127"/>
    </row>
    <row r="3" spans="1:17" ht="33" x14ac:dyDescent="0.2">
      <c r="A3" s="126" t="str">
        <f>CONCATENATE("Объект: ",IF(Source!G259&lt;&gt;"Новый объект", Source!G259, ""))</f>
        <v>Объект: Существующая электрическая сеть 6 кВ по территории СНТ " Фарфорист" и СНТ " Дружба"</v>
      </c>
      <c r="B3" s="127"/>
      <c r="C3" s="127"/>
      <c r="D3" s="127"/>
      <c r="E3" s="127"/>
      <c r="F3" s="127"/>
      <c r="O3" s="77" t="s">
        <v>641</v>
      </c>
    </row>
    <row r="4" spans="1:17" x14ac:dyDescent="0.2">
      <c r="A4" s="130" t="s">
        <v>642</v>
      </c>
      <c r="B4" s="130" t="s">
        <v>643</v>
      </c>
      <c r="C4" s="130" t="s">
        <v>602</v>
      </c>
      <c r="D4" s="130" t="s">
        <v>644</v>
      </c>
      <c r="E4" s="133" t="s">
        <v>645</v>
      </c>
      <c r="F4" s="134"/>
    </row>
    <row r="5" spans="1:17" x14ac:dyDescent="0.2">
      <c r="A5" s="131"/>
      <c r="B5" s="131"/>
      <c r="C5" s="131"/>
      <c r="D5" s="131"/>
      <c r="E5" s="135"/>
      <c r="F5" s="136"/>
    </row>
    <row r="6" spans="1:17" ht="14.25" x14ac:dyDescent="0.2">
      <c r="A6" s="132"/>
      <c r="B6" s="132"/>
      <c r="C6" s="132"/>
      <c r="D6" s="132"/>
      <c r="E6" s="23" t="s">
        <v>646</v>
      </c>
      <c r="F6" s="23" t="s">
        <v>647</v>
      </c>
    </row>
    <row r="7" spans="1:17" ht="14.25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17" ht="33" x14ac:dyDescent="0.2">
      <c r="A8" s="126" t="str">
        <f>CONCATENATE("Локальная смета: ",IF(Source!G22&lt;&gt;"Новая локальная смета", Source!G22, ""))</f>
        <v>Локальная смета: Существующая электрическая сеть 6 кВ по территории СНТ " Фарфорист" и СНТ " Дружба"</v>
      </c>
      <c r="B8" s="127"/>
      <c r="C8" s="127"/>
      <c r="D8" s="127"/>
      <c r="E8" s="127"/>
      <c r="F8" s="127"/>
      <c r="O8" s="77" t="s">
        <v>648</v>
      </c>
    </row>
    <row r="9" spans="1:17" ht="16.5" x14ac:dyDescent="0.2">
      <c r="A9" s="126" t="str">
        <f>CONCATENATE("Раздел: ",IF(Source!G26&lt;&gt;"Новый раздел", Source!G26, ""))</f>
        <v>Раздел: Ремонтные работы</v>
      </c>
      <c r="B9" s="127"/>
      <c r="C9" s="127"/>
      <c r="D9" s="127"/>
      <c r="E9" s="127"/>
      <c r="F9" s="127"/>
    </row>
    <row r="10" spans="1:17" ht="14.25" x14ac:dyDescent="0.2">
      <c r="A10" s="128" t="s">
        <v>649</v>
      </c>
      <c r="B10" s="129"/>
      <c r="C10" s="129"/>
      <c r="D10" s="129"/>
      <c r="E10" s="129"/>
      <c r="F10" s="129"/>
    </row>
    <row r="11" spans="1:17" ht="28.5" x14ac:dyDescent="0.2">
      <c r="A11" s="78" t="s">
        <v>399</v>
      </c>
      <c r="B11" s="70" t="s">
        <v>401</v>
      </c>
      <c r="C11" s="70" t="s">
        <v>215</v>
      </c>
      <c r="D11" s="71">
        <f>ROUND(SUMIF(RV_DATA!W8:'RV_DATA'!W26, 1736812751, RV_DATA!I8:'RV_DATA'!I26), 6)</f>
        <v>5.7999999999999996E-3</v>
      </c>
      <c r="E11" s="79">
        <f>ROUND(RV_DATA!N20, 2)</f>
        <v>42000.08</v>
      </c>
      <c r="F11" s="79">
        <f>ROUND(SUMIF(RV_DATA!W8:'RV_DATA'!W26, 1736812751, RV_DATA!O8:'RV_DATA'!O26), 6)</f>
        <v>243.6</v>
      </c>
      <c r="Q11">
        <v>3</v>
      </c>
    </row>
    <row r="12" spans="1:17" ht="14.25" x14ac:dyDescent="0.2">
      <c r="A12" s="78" t="s">
        <v>402</v>
      </c>
      <c r="B12" s="70" t="s">
        <v>404</v>
      </c>
      <c r="C12" s="70" t="s">
        <v>128</v>
      </c>
      <c r="D12" s="71">
        <f>ROUND(SUMIF(RV_DATA!W8:'RV_DATA'!W26, 908674597, RV_DATA!I8:'RV_DATA'!I26), 6)</f>
        <v>1.58</v>
      </c>
      <c r="E12" s="79">
        <f>ROUND(RV_DATA!N19, 2)</f>
        <v>93.59</v>
      </c>
      <c r="F12" s="79">
        <f>ROUND(SUMIF(RV_DATA!W8:'RV_DATA'!W26, 908674597, RV_DATA!O8:'RV_DATA'!O26), 6)</f>
        <v>147.87</v>
      </c>
      <c r="Q12">
        <v>3</v>
      </c>
    </row>
    <row r="13" spans="1:17" ht="42.75" x14ac:dyDescent="0.2">
      <c r="A13" s="78" t="s">
        <v>370</v>
      </c>
      <c r="B13" s="70" t="s">
        <v>372</v>
      </c>
      <c r="C13" s="70" t="s">
        <v>105</v>
      </c>
      <c r="D13" s="71">
        <f>ROUND(SUMIF(RV_DATA!W8:'RV_DATA'!W26, -964878450, RV_DATA!I8:'RV_DATA'!I26), 6)</f>
        <v>59.4</v>
      </c>
      <c r="E13" s="79">
        <f>ROUND(RV_DATA!N11, 2)</f>
        <v>86.3</v>
      </c>
      <c r="F13" s="79">
        <f>ROUND(SUMIF(RV_DATA!W8:'RV_DATA'!W26, -964878450, RV_DATA!O8:'RV_DATA'!O26), 6)</f>
        <v>5126.26</v>
      </c>
      <c r="Q13">
        <v>3</v>
      </c>
    </row>
    <row r="14" spans="1:17" ht="14.25" x14ac:dyDescent="0.2">
      <c r="A14" s="78" t="s">
        <v>405</v>
      </c>
      <c r="B14" s="70" t="s">
        <v>407</v>
      </c>
      <c r="C14" s="70" t="s">
        <v>128</v>
      </c>
      <c r="D14" s="71">
        <f>ROUND(SUMIF(RV_DATA!W8:'RV_DATA'!W26, 1921321087, RV_DATA!I8:'RV_DATA'!I26), 6)</f>
        <v>3.7999999999999999E-2</v>
      </c>
      <c r="E14" s="79">
        <f>ROUND(RV_DATA!N18, 2)</f>
        <v>765.95</v>
      </c>
      <c r="F14" s="79">
        <f>ROUND(SUMIF(RV_DATA!W8:'RV_DATA'!W26, 1921321087, RV_DATA!O8:'RV_DATA'!O26), 6)</f>
        <v>29.1</v>
      </c>
      <c r="Q14">
        <v>3</v>
      </c>
    </row>
    <row r="15" spans="1:17" ht="28.5" x14ac:dyDescent="0.2">
      <c r="A15" s="78" t="s">
        <v>373</v>
      </c>
      <c r="B15" s="70" t="s">
        <v>375</v>
      </c>
      <c r="C15" s="70" t="s">
        <v>191</v>
      </c>
      <c r="D15" s="71">
        <f>ROUND(SUMIF(RV_DATA!W8:'RV_DATA'!W26, -1925362402, RV_DATA!I8:'RV_DATA'!I26), 6)</f>
        <v>1.7999999999999999E-2</v>
      </c>
      <c r="E15" s="79">
        <f>ROUND(RV_DATA!N10, 2)</f>
        <v>1825.68</v>
      </c>
      <c r="F15" s="79">
        <f>ROUND(SUMIF(RV_DATA!W8:'RV_DATA'!W26, -1925362402, RV_DATA!O8:'RV_DATA'!O26), 6)</f>
        <v>32.840000000000003</v>
      </c>
      <c r="Q15">
        <v>3</v>
      </c>
    </row>
    <row r="16" spans="1:17" ht="71.25" x14ac:dyDescent="0.2">
      <c r="A16" s="78" t="s">
        <v>103</v>
      </c>
      <c r="B16" s="70" t="s">
        <v>104</v>
      </c>
      <c r="C16" s="70" t="s">
        <v>105</v>
      </c>
      <c r="D16" s="71">
        <f>ROUND(SUMIF(RV_DATA!W8:'RV_DATA'!W26, -1199187987, RV_DATA!I8:'RV_DATA'!I26), 6)</f>
        <v>100</v>
      </c>
      <c r="E16" s="79">
        <f>ROUND(RV_DATA!N22, 2)</f>
        <v>616.58000000000004</v>
      </c>
      <c r="F16" s="79">
        <f>ROUND(SUMIF(RV_DATA!W8:'RV_DATA'!W26, -1199187987, RV_DATA!O8:'RV_DATA'!O26), 6)</f>
        <v>61657.68</v>
      </c>
      <c r="Q16">
        <v>3</v>
      </c>
    </row>
    <row r="17" spans="1:17" ht="14.25" x14ac:dyDescent="0.2">
      <c r="A17" s="78" t="s">
        <v>408</v>
      </c>
      <c r="B17" s="70" t="s">
        <v>410</v>
      </c>
      <c r="C17" s="70" t="s">
        <v>225</v>
      </c>
      <c r="D17" s="71">
        <f>ROUND(SUMIF(RV_DATA!W8:'RV_DATA'!W26, -408887131, RV_DATA!I8:'RV_DATA'!I26), 6)</f>
        <v>0.25</v>
      </c>
      <c r="E17" s="79">
        <f>ROUND(RV_DATA!N17, 2)</f>
        <v>914.13</v>
      </c>
      <c r="F17" s="79">
        <f>ROUND(SUMIF(RV_DATA!W8:'RV_DATA'!W26, -408887131, RV_DATA!O8:'RV_DATA'!O26), 6)</f>
        <v>228.56</v>
      </c>
      <c r="Q17">
        <v>3</v>
      </c>
    </row>
    <row r="18" spans="1:17" ht="28.5" x14ac:dyDescent="0.2">
      <c r="A18" s="78" t="s">
        <v>411</v>
      </c>
      <c r="B18" s="70" t="s">
        <v>413</v>
      </c>
      <c r="C18" s="70" t="s">
        <v>191</v>
      </c>
      <c r="D18" s="71">
        <f>ROUND(SUMIF(RV_DATA!W8:'RV_DATA'!W26, 1888346410, RV_DATA!I8:'RV_DATA'!I26), 6)</f>
        <v>4.0000000000000001E-3</v>
      </c>
      <c r="E18" s="79">
        <f>ROUND(RV_DATA!N16, 2)</f>
        <v>3540</v>
      </c>
      <c r="F18" s="79">
        <f>ROUND(SUMIF(RV_DATA!W8:'RV_DATA'!W26, 1888346410, RV_DATA!O8:'RV_DATA'!O26), 6)</f>
        <v>14.16</v>
      </c>
      <c r="Q18">
        <v>3</v>
      </c>
    </row>
    <row r="19" spans="1:17" ht="28.5" x14ac:dyDescent="0.2">
      <c r="A19" s="78" t="s">
        <v>416</v>
      </c>
      <c r="B19" s="70" t="s">
        <v>418</v>
      </c>
      <c r="C19" s="70" t="s">
        <v>191</v>
      </c>
      <c r="D19" s="71">
        <f>ROUND(SUMIF(RV_DATA!W8:'RV_DATA'!W26, -296316587, RV_DATA!I8:'RV_DATA'!I26), 6)</f>
        <v>160</v>
      </c>
      <c r="E19" s="79">
        <f>ROUND(RV_DATA!N23, 2)</f>
        <v>882.41</v>
      </c>
      <c r="F19" s="79">
        <f>ROUND(SUMIF(RV_DATA!W8:'RV_DATA'!W26, -296316587, RV_DATA!O8:'RV_DATA'!O26), 6)</f>
        <v>141185.76</v>
      </c>
      <c r="Q19">
        <v>3</v>
      </c>
    </row>
    <row r="20" spans="1:17" ht="14.25" x14ac:dyDescent="0.2">
      <c r="A20" s="78" t="s">
        <v>422</v>
      </c>
      <c r="B20" s="70" t="s">
        <v>424</v>
      </c>
      <c r="C20" s="70" t="s">
        <v>191</v>
      </c>
      <c r="D20" s="71">
        <f>ROUND(SUMIF(RV_DATA!W8:'RV_DATA'!W26, 652008469, RV_DATA!I8:'RV_DATA'!I26), 6)</f>
        <v>160</v>
      </c>
      <c r="E20" s="79">
        <f>ROUND(RV_DATA!N25, 2)</f>
        <v>21.28</v>
      </c>
      <c r="F20" s="79">
        <f>ROUND(SUMIF(RV_DATA!W8:'RV_DATA'!W26, 652008469, RV_DATA!O8:'RV_DATA'!O26), 6)</f>
        <v>3404.29</v>
      </c>
      <c r="Q20">
        <v>3</v>
      </c>
    </row>
    <row r="21" spans="1:17" ht="14.25" x14ac:dyDescent="0.2">
      <c r="A21" s="78" t="s">
        <v>126</v>
      </c>
      <c r="B21" s="70" t="s">
        <v>127</v>
      </c>
      <c r="C21" s="70" t="s">
        <v>128</v>
      </c>
      <c r="D21" s="71">
        <f>ROUND(SUMIF(RV_DATA!W8:'RV_DATA'!W26, -1250450643, RV_DATA!I8:'RV_DATA'!I26), 6)</f>
        <v>32</v>
      </c>
      <c r="E21" s="79">
        <f>ROUND(RV_DATA!N26, 2)</f>
        <v>131.75</v>
      </c>
      <c r="F21" s="79">
        <f>ROUND(SUMIF(RV_DATA!W8:'RV_DATA'!W26, -1250450643, RV_DATA!O8:'RV_DATA'!O26), 6)</f>
        <v>4216.0600000000004</v>
      </c>
      <c r="Q21">
        <v>3</v>
      </c>
    </row>
    <row r="22" spans="1:17" ht="28.5" x14ac:dyDescent="0.2">
      <c r="A22" s="78" t="s">
        <v>376</v>
      </c>
      <c r="B22" s="70" t="s">
        <v>378</v>
      </c>
      <c r="C22" s="70" t="s">
        <v>97</v>
      </c>
      <c r="D22" s="71">
        <f>ROUND(SUMIF(RV_DATA!W8:'RV_DATA'!W26, -246941579, RV_DATA!I8:'RV_DATA'!I26), 6)</f>
        <v>1.92</v>
      </c>
      <c r="E22" s="79">
        <f>ROUND(RV_DATA!N9, 2)</f>
        <v>210.82</v>
      </c>
      <c r="F22" s="79">
        <f>ROUND(SUMIF(RV_DATA!W8:'RV_DATA'!W26, -246941579, RV_DATA!O8:'RV_DATA'!O26), 6)</f>
        <v>404.76</v>
      </c>
      <c r="Q22">
        <v>3</v>
      </c>
    </row>
    <row r="23" spans="1:17" ht="28.5" x14ac:dyDescent="0.2">
      <c r="A23" s="78" t="s">
        <v>379</v>
      </c>
      <c r="B23" s="70" t="s">
        <v>381</v>
      </c>
      <c r="C23" s="70" t="s">
        <v>225</v>
      </c>
      <c r="D23" s="71">
        <f>ROUND(SUMIF(RV_DATA!W8:'RV_DATA'!W26, -379069142, RV_DATA!I8:'RV_DATA'!I26), 6)</f>
        <v>1.2E-2</v>
      </c>
      <c r="E23" s="79">
        <f>ROUND(RV_DATA!N8, 2)</f>
        <v>1840</v>
      </c>
      <c r="F23" s="79">
        <f>ROUND(SUMIF(RV_DATA!W8:'RV_DATA'!W26, -379069142, RV_DATA!O8:'RV_DATA'!O26), 6)</f>
        <v>22.08</v>
      </c>
      <c r="Q23">
        <v>3</v>
      </c>
    </row>
    <row r="24" spans="1:17" ht="28.5" x14ac:dyDescent="0.2">
      <c r="A24" s="78" t="s">
        <v>84</v>
      </c>
      <c r="B24" s="70" t="s">
        <v>85</v>
      </c>
      <c r="C24" s="70" t="s">
        <v>81</v>
      </c>
      <c r="D24" s="71">
        <f>ROUND(SUMIF(RV_DATA!W8:'RV_DATA'!W26, -1154588961, RV_DATA!I8:'RV_DATA'!I26), 6)</f>
        <v>20</v>
      </c>
      <c r="E24" s="79">
        <f>ROUND(RV_DATA!N13, 2)</f>
        <v>352.18</v>
      </c>
      <c r="F24" s="79">
        <f>ROUND(SUMIF(RV_DATA!W8:'RV_DATA'!W26, -1154588961, RV_DATA!O8:'RV_DATA'!O26), 6)</f>
        <v>7043.6</v>
      </c>
      <c r="Q24">
        <v>3</v>
      </c>
    </row>
    <row r="25" spans="1:17" ht="28.5" x14ac:dyDescent="0.2">
      <c r="A25" s="78" t="s">
        <v>384</v>
      </c>
      <c r="B25" s="70" t="s">
        <v>386</v>
      </c>
      <c r="C25" s="70" t="s">
        <v>387</v>
      </c>
      <c r="D25" s="71">
        <f>ROUND(SUMIF(RV_DATA!W8:'RV_DATA'!W26, 655047484, RV_DATA!I8:'RV_DATA'!I26), 6)</f>
        <v>9.1999999999999993</v>
      </c>
      <c r="E25" s="79">
        <f>ROUND(RV_DATA!N12, 2)</f>
        <v>1</v>
      </c>
      <c r="F25" s="79">
        <f>ROUND(SUMIF(RV_DATA!W8:'RV_DATA'!W26, 655047484, RV_DATA!O8:'RV_DATA'!O26), 6)</f>
        <v>9.1999999999999993</v>
      </c>
      <c r="Q25">
        <v>3</v>
      </c>
    </row>
    <row r="26" spans="1:17" ht="15" x14ac:dyDescent="0.25">
      <c r="A26" s="124" t="s">
        <v>650</v>
      </c>
      <c r="B26" s="124"/>
      <c r="C26" s="124"/>
      <c r="D26" s="124"/>
      <c r="E26" s="125">
        <f>SUMIF(Q11:Q25, 3, F11:F25)</f>
        <v>223765.82000000004</v>
      </c>
      <c r="F26" s="124"/>
    </row>
    <row r="27" spans="1:17" ht="16.5" x14ac:dyDescent="0.2">
      <c r="A27" s="126" t="str">
        <f>CONCATENATE("Раздел: ",IF(Source!G75&lt;&gt;"Новый раздел", Source!G75, ""))</f>
        <v>Раздел: Электромонтажные работы</v>
      </c>
      <c r="B27" s="127"/>
      <c r="C27" s="127"/>
      <c r="D27" s="127"/>
      <c r="E27" s="127"/>
      <c r="F27" s="127"/>
    </row>
    <row r="28" spans="1:17" ht="14.25" x14ac:dyDescent="0.2">
      <c r="A28" s="128" t="s">
        <v>649</v>
      </c>
      <c r="B28" s="129"/>
      <c r="C28" s="129"/>
      <c r="D28" s="129"/>
      <c r="E28" s="129"/>
      <c r="F28" s="129"/>
    </row>
    <row r="29" spans="1:17" ht="14.25" x14ac:dyDescent="0.2">
      <c r="A29" s="78" t="s">
        <v>463</v>
      </c>
      <c r="B29" s="70" t="s">
        <v>465</v>
      </c>
      <c r="C29" s="70" t="s">
        <v>215</v>
      </c>
      <c r="D29" s="71">
        <f>ROUND(SUMIF(RV_DATA!W28:'RV_DATA'!W65, 1654082501, RV_DATA!I28:'RV_DATA'!I65), 6)</f>
        <v>3.2000000000000002E-3</v>
      </c>
      <c r="E29" s="79">
        <f>ROUND(RV_DATA!N53, 2)</f>
        <v>72083.7</v>
      </c>
      <c r="F29" s="79">
        <f>ROUND(SUMIF(RV_DATA!W28:'RV_DATA'!W65, 1654082501, RV_DATA!O28:'RV_DATA'!O65), 6)</f>
        <v>230.79</v>
      </c>
      <c r="Q29">
        <v>3</v>
      </c>
    </row>
    <row r="30" spans="1:17" ht="28.5" x14ac:dyDescent="0.2">
      <c r="A30" s="78" t="s">
        <v>434</v>
      </c>
      <c r="B30" s="70" t="s">
        <v>436</v>
      </c>
      <c r="C30" s="70" t="s">
        <v>215</v>
      </c>
      <c r="D30" s="71">
        <f>ROUND(SUMIF(RV_DATA!W28:'RV_DATA'!W65, 1616356668, RV_DATA!I28:'RV_DATA'!I65), 6)</f>
        <v>9.5799999999999996E-2</v>
      </c>
      <c r="E30" s="79">
        <f>ROUND(RV_DATA!N35, 2)</f>
        <v>34232.22</v>
      </c>
      <c r="F30" s="79">
        <f>ROUND(SUMIF(RV_DATA!W28:'RV_DATA'!W65, 1616356668, RV_DATA!O28:'RV_DATA'!O65), 6)</f>
        <v>3279.47</v>
      </c>
      <c r="Q30">
        <v>3</v>
      </c>
    </row>
    <row r="31" spans="1:17" ht="42.75" x14ac:dyDescent="0.2">
      <c r="A31" s="78" t="s">
        <v>213</v>
      </c>
      <c r="B31" s="70" t="s">
        <v>214</v>
      </c>
      <c r="C31" s="70" t="s">
        <v>215</v>
      </c>
      <c r="D31" s="71">
        <f>ROUND(SUMIF(RV_DATA!W28:'RV_DATA'!W65, 1273054236, RV_DATA!I28:'RV_DATA'!I65), 6)</f>
        <v>7.5499999999999998E-2</v>
      </c>
      <c r="E31" s="79">
        <f>ROUND(RV_DATA!N49, 2)</f>
        <v>33483.03</v>
      </c>
      <c r="F31" s="79">
        <f>ROUND(SUMIF(RV_DATA!W28:'RV_DATA'!W65, 1273054236, RV_DATA!O28:'RV_DATA'!O65), 6)</f>
        <v>2527.9699999999998</v>
      </c>
      <c r="Q31">
        <v>3</v>
      </c>
    </row>
    <row r="32" spans="1:17" ht="28.5" x14ac:dyDescent="0.2">
      <c r="A32" s="78" t="s">
        <v>399</v>
      </c>
      <c r="B32" s="70" t="s">
        <v>401</v>
      </c>
      <c r="C32" s="70" t="s">
        <v>215</v>
      </c>
      <c r="D32" s="71">
        <f>ROUND(SUMIF(RV_DATA!W28:'RV_DATA'!W65, 1736812751, RV_DATA!I28:'RV_DATA'!I65), 6)</f>
        <v>9.58E-3</v>
      </c>
      <c r="E32" s="79">
        <f>ROUND(RV_DATA!N34, 2)</f>
        <v>42000.08</v>
      </c>
      <c r="F32" s="79">
        <f>ROUND(SUMIF(RV_DATA!W28:'RV_DATA'!W65, 1736812751, RV_DATA!O28:'RV_DATA'!O65), 6)</f>
        <v>402.36</v>
      </c>
      <c r="Q32">
        <v>3</v>
      </c>
    </row>
    <row r="33" spans="1:17" ht="28.5" x14ac:dyDescent="0.2">
      <c r="A33" s="78" t="s">
        <v>457</v>
      </c>
      <c r="B33" s="70" t="s">
        <v>459</v>
      </c>
      <c r="C33" s="70" t="s">
        <v>128</v>
      </c>
      <c r="D33" s="71">
        <f>ROUND(SUMIF(RV_DATA!W28:'RV_DATA'!W65, -965331088, RV_DATA!I28:'RV_DATA'!I65), 6)</f>
        <v>8.0030000000000001</v>
      </c>
      <c r="E33" s="79">
        <f>ROUND(RV_DATA!N48, 2)</f>
        <v>79.64</v>
      </c>
      <c r="F33" s="79">
        <f>ROUND(SUMIF(RV_DATA!W28:'RV_DATA'!W65, -965331088, RV_DATA!O28:'RV_DATA'!O65), 6)</f>
        <v>638.54999999999995</v>
      </c>
      <c r="Q33">
        <v>3</v>
      </c>
    </row>
    <row r="34" spans="1:17" ht="14.25" x14ac:dyDescent="0.2">
      <c r="A34" s="78" t="s">
        <v>437</v>
      </c>
      <c r="B34" s="70" t="s">
        <v>439</v>
      </c>
      <c r="C34" s="70" t="s">
        <v>128</v>
      </c>
      <c r="D34" s="71">
        <f>ROUND(SUMIF(RV_DATA!W28:'RV_DATA'!W65, 1617004271, RV_DATA!I28:'RV_DATA'!I65), 6)</f>
        <v>3.9049999999999998</v>
      </c>
      <c r="E34" s="79">
        <f>ROUND(RV_DATA!N33, 2)</f>
        <v>63.36</v>
      </c>
      <c r="F34" s="79">
        <f>ROUND(SUMIF(RV_DATA!W28:'RV_DATA'!W65, 1617004271, RV_DATA!O28:'RV_DATA'!O65), 6)</f>
        <v>246.92</v>
      </c>
      <c r="Q34">
        <v>3</v>
      </c>
    </row>
    <row r="35" spans="1:17" ht="14.25" x14ac:dyDescent="0.2">
      <c r="A35" s="78" t="s">
        <v>440</v>
      </c>
      <c r="B35" s="70" t="s">
        <v>442</v>
      </c>
      <c r="C35" s="70" t="s">
        <v>90</v>
      </c>
      <c r="D35" s="71">
        <f>ROUND(SUMIF(RV_DATA!W28:'RV_DATA'!W65, 53189039, RV_DATA!I28:'RV_DATA'!I65), 6)</f>
        <v>0.11362800000000001</v>
      </c>
      <c r="E35" s="79">
        <f>ROUND(RV_DATA!N32, 2)</f>
        <v>565.69000000000005</v>
      </c>
      <c r="F35" s="79">
        <f>ROUND(SUMIF(RV_DATA!W28:'RV_DATA'!W65, 53189039, RV_DATA!O28:'RV_DATA'!O65), 6)</f>
        <v>64.5</v>
      </c>
      <c r="Q35">
        <v>3</v>
      </c>
    </row>
    <row r="36" spans="1:17" ht="14.25" x14ac:dyDescent="0.2">
      <c r="A36" s="78" t="s">
        <v>460</v>
      </c>
      <c r="B36" s="70" t="s">
        <v>462</v>
      </c>
      <c r="C36" s="70" t="s">
        <v>225</v>
      </c>
      <c r="D36" s="71">
        <f>ROUND(SUMIF(RV_DATA!W28:'RV_DATA'!W65, 1303852590, RV_DATA!I28:'RV_DATA'!I65), 6)</f>
        <v>0.79579999999999995</v>
      </c>
      <c r="E36" s="79">
        <f>ROUND(RV_DATA!N46, 2)</f>
        <v>54.33</v>
      </c>
      <c r="F36" s="79">
        <f>ROUND(SUMIF(RV_DATA!W28:'RV_DATA'!W65, 1303852590, RV_DATA!O28:'RV_DATA'!O65), 6)</f>
        <v>43.13</v>
      </c>
      <c r="Q36">
        <v>3</v>
      </c>
    </row>
    <row r="37" spans="1:17" ht="14.25" x14ac:dyDescent="0.2">
      <c r="A37" s="78" t="s">
        <v>469</v>
      </c>
      <c r="B37" s="70" t="s">
        <v>471</v>
      </c>
      <c r="C37" s="70" t="s">
        <v>225</v>
      </c>
      <c r="D37" s="71">
        <f>ROUND(SUMIF(RV_DATA!W28:'RV_DATA'!W65, -2013529542, RV_DATA!I28:'RV_DATA'!I65), 6)</f>
        <v>4.0800000000000003E-2</v>
      </c>
      <c r="E37" s="79">
        <f>ROUND(RV_DATA!N56, 2)</f>
        <v>22.4</v>
      </c>
      <c r="F37" s="79">
        <f>ROUND(SUMIF(RV_DATA!W28:'RV_DATA'!W65, -2013529542, RV_DATA!O28:'RV_DATA'!O65), 6)</f>
        <v>0.9</v>
      </c>
      <c r="Q37">
        <v>3</v>
      </c>
    </row>
    <row r="38" spans="1:17" ht="71.25" x14ac:dyDescent="0.2">
      <c r="A38" s="78" t="s">
        <v>477</v>
      </c>
      <c r="B38" s="70" t="s">
        <v>479</v>
      </c>
      <c r="C38" s="70" t="s">
        <v>81</v>
      </c>
      <c r="D38" s="71">
        <f>ROUND(SUMIF(RV_DATA!W28:'RV_DATA'!W65, -320720624, RV_DATA!I28:'RV_DATA'!I65), 6)</f>
        <v>1973.48</v>
      </c>
      <c r="E38" s="79">
        <f>ROUND(RV_DATA!N65, 2)</f>
        <v>7</v>
      </c>
      <c r="F38" s="79">
        <f>ROUND(SUMIF(RV_DATA!W28:'RV_DATA'!W65, -320720624, RV_DATA!O28:'RV_DATA'!O65), 6)</f>
        <v>13814.36</v>
      </c>
      <c r="Q38">
        <v>3</v>
      </c>
    </row>
    <row r="39" spans="1:17" ht="14.25" x14ac:dyDescent="0.2">
      <c r="A39" s="78" t="s">
        <v>443</v>
      </c>
      <c r="B39" s="70" t="s">
        <v>445</v>
      </c>
      <c r="C39" s="70" t="s">
        <v>215</v>
      </c>
      <c r="D39" s="71">
        <f>ROUND(SUMIF(RV_DATA!W28:'RV_DATA'!W65, -588559898, RV_DATA!I28:'RV_DATA'!I65), 6)</f>
        <v>9.6199999999999996E-4</v>
      </c>
      <c r="E39" s="79">
        <f>ROUND(RV_DATA!N31, 2)</f>
        <v>85748.26</v>
      </c>
      <c r="F39" s="79">
        <f>ROUND(SUMIF(RV_DATA!W28:'RV_DATA'!W65, -588559898, RV_DATA!O28:'RV_DATA'!O65), 6)</f>
        <v>82.12</v>
      </c>
      <c r="Q39">
        <v>3</v>
      </c>
    </row>
    <row r="40" spans="1:17" ht="28.5" x14ac:dyDescent="0.2">
      <c r="A40" s="78" t="s">
        <v>189</v>
      </c>
      <c r="B40" s="70" t="s">
        <v>190</v>
      </c>
      <c r="C40" s="70" t="s">
        <v>191</v>
      </c>
      <c r="D40" s="71">
        <f>ROUND(SUMIF(RV_DATA!W28:'RV_DATA'!W65, 1890378090, RV_DATA!I28:'RV_DATA'!I65), 6)</f>
        <v>114.96</v>
      </c>
      <c r="E40" s="79">
        <f>ROUND(RV_DATA!N29, 2)</f>
        <v>550.39</v>
      </c>
      <c r="F40" s="79">
        <f>ROUND(SUMIF(RV_DATA!W28:'RV_DATA'!W65, 1890378090, RV_DATA!O28:'RV_DATA'!O65), 6)</f>
        <v>63272.79</v>
      </c>
      <c r="Q40">
        <v>3</v>
      </c>
    </row>
    <row r="41" spans="1:17" ht="28.5" x14ac:dyDescent="0.2">
      <c r="A41" s="78" t="s">
        <v>232</v>
      </c>
      <c r="B41" s="70" t="s">
        <v>233</v>
      </c>
      <c r="C41" s="70" t="s">
        <v>234</v>
      </c>
      <c r="D41" s="71">
        <f>ROUND(SUMIF(RV_DATA!W28:'RV_DATA'!W65, 1060920071, RV_DATA!I28:'RV_DATA'!I65), 6)</f>
        <v>2E-3</v>
      </c>
      <c r="E41" s="79">
        <f>ROUND(RV_DATA!N58, 2)</f>
        <v>170083.12</v>
      </c>
      <c r="F41" s="79">
        <f>ROUND(SUMIF(RV_DATA!W28:'RV_DATA'!W65, 1060920071, RV_DATA!O28:'RV_DATA'!O65), 6)</f>
        <v>340.17</v>
      </c>
      <c r="Q41">
        <v>3</v>
      </c>
    </row>
    <row r="42" spans="1:17" ht="28.5" x14ac:dyDescent="0.2">
      <c r="A42" s="78" t="s">
        <v>446</v>
      </c>
      <c r="B42" s="70" t="s">
        <v>448</v>
      </c>
      <c r="C42" s="70" t="s">
        <v>128</v>
      </c>
      <c r="D42" s="71">
        <f>ROUND(SUMIF(RV_DATA!W28:'RV_DATA'!W65, 705283067, RV_DATA!I28:'RV_DATA'!I65), 6)</f>
        <v>0.41</v>
      </c>
      <c r="E42" s="79">
        <f>ROUND(RV_DATA!N37, 2)</f>
        <v>527.04</v>
      </c>
      <c r="F42" s="79">
        <f>ROUND(SUMIF(RV_DATA!W28:'RV_DATA'!W65, 705283067, RV_DATA!O28:'RV_DATA'!O65), 6)</f>
        <v>216.16</v>
      </c>
      <c r="Q42">
        <v>3</v>
      </c>
    </row>
    <row r="43" spans="1:17" ht="14.25" x14ac:dyDescent="0.2">
      <c r="A43" s="78" t="s">
        <v>95</v>
      </c>
      <c r="B43" s="70" t="s">
        <v>96</v>
      </c>
      <c r="C43" s="70" t="s">
        <v>97</v>
      </c>
      <c r="D43" s="71">
        <f>ROUND(SUMIF(RV_DATA!W28:'RV_DATA'!W65, 290375950, RV_DATA!I28:'RV_DATA'!I65), 6)</f>
        <v>7.55</v>
      </c>
      <c r="E43" s="79">
        <f>ROUND(RV_DATA!N45, 2)</f>
        <v>993.87</v>
      </c>
      <c r="F43" s="79">
        <f>ROUND(SUMIF(RV_DATA!W28:'RV_DATA'!W65, 290375950, RV_DATA!O28:'RV_DATA'!O65), 6)</f>
        <v>7503.84</v>
      </c>
      <c r="Q43">
        <v>3</v>
      </c>
    </row>
    <row r="44" spans="1:17" ht="28.5" x14ac:dyDescent="0.2">
      <c r="A44" s="78" t="s">
        <v>466</v>
      </c>
      <c r="B44" s="70" t="s">
        <v>468</v>
      </c>
      <c r="C44" s="70" t="s">
        <v>215</v>
      </c>
      <c r="D44" s="71">
        <f>ROUND(SUMIF(RV_DATA!W28:'RV_DATA'!W65, -986409645, RV_DATA!I28:'RV_DATA'!I65), 6)</f>
        <v>8.0000000000000007E-5</v>
      </c>
      <c r="E44" s="79">
        <f>ROUND(RV_DATA!N51, 2)</f>
        <v>47997.5</v>
      </c>
      <c r="F44" s="79">
        <f>ROUND(SUMIF(RV_DATA!W28:'RV_DATA'!W65, -986409645, RV_DATA!O28:'RV_DATA'!O65), 6)</f>
        <v>3.81</v>
      </c>
      <c r="Q44">
        <v>3</v>
      </c>
    </row>
    <row r="45" spans="1:17" ht="14.25" x14ac:dyDescent="0.2">
      <c r="A45" s="78" t="s">
        <v>242</v>
      </c>
      <c r="B45" s="70" t="s">
        <v>243</v>
      </c>
      <c r="C45" s="70" t="s">
        <v>225</v>
      </c>
      <c r="D45" s="71">
        <f>ROUND(SUMIF(RV_DATA!W28:'RV_DATA'!W65, -998644571, RV_DATA!I28:'RV_DATA'!I65), 6)</f>
        <v>0</v>
      </c>
      <c r="E45" s="79">
        <f>ROUND(RV_DATA!N60, 2)</f>
        <v>6617.28</v>
      </c>
      <c r="F45" s="79">
        <f>ROUND(SUMIF(RV_DATA!W28:'RV_DATA'!W65, -998644571, RV_DATA!O28:'RV_DATA'!O65), 6)</f>
        <v>0.06</v>
      </c>
      <c r="Q45">
        <v>3</v>
      </c>
    </row>
    <row r="46" spans="1:17" ht="28.5" x14ac:dyDescent="0.2">
      <c r="A46" s="78" t="s">
        <v>384</v>
      </c>
      <c r="B46" s="70" t="s">
        <v>386</v>
      </c>
      <c r="C46" s="70" t="s">
        <v>387</v>
      </c>
      <c r="D46" s="71">
        <f>ROUND(SUMIF(RV_DATA!W28:'RV_DATA'!W65, 731048976, RV_DATA!I28:'RV_DATA'!I65), 6)</f>
        <v>9.7715999999999994</v>
      </c>
      <c r="E46" s="79">
        <f>ROUND(RV_DATA!N28, 2)</f>
        <v>1</v>
      </c>
      <c r="F46" s="79">
        <f>ROUND(SUMIF(RV_DATA!W28:'RV_DATA'!W65, 731048976, RV_DATA!O28:'RV_DATA'!O65), 6)</f>
        <v>9.77</v>
      </c>
      <c r="Q46">
        <v>3</v>
      </c>
    </row>
    <row r="47" spans="1:17" ht="28.5" x14ac:dyDescent="0.2">
      <c r="A47" s="78" t="s">
        <v>384</v>
      </c>
      <c r="B47" s="70" t="s">
        <v>386</v>
      </c>
      <c r="C47" s="70" t="s">
        <v>387</v>
      </c>
      <c r="D47" s="71">
        <f>ROUND(SUMIF(RV_DATA!W28:'RV_DATA'!W65, 655047484, RV_DATA!I28:'RV_DATA'!I65), 6)</f>
        <v>45.458399999999997</v>
      </c>
      <c r="E47" s="79">
        <f>ROUND(RV_DATA!N30, 2)</f>
        <v>1</v>
      </c>
      <c r="F47" s="79">
        <f>ROUND(SUMIF(RV_DATA!W28:'RV_DATA'!W65, 655047484, RV_DATA!O28:'RV_DATA'!O65), 6)</f>
        <v>45.46</v>
      </c>
      <c r="Q47">
        <v>3</v>
      </c>
    </row>
    <row r="48" spans="1:17" ht="15" x14ac:dyDescent="0.25">
      <c r="A48" s="124" t="s">
        <v>650</v>
      </c>
      <c r="B48" s="124"/>
      <c r="C48" s="124"/>
      <c r="D48" s="124"/>
      <c r="E48" s="125">
        <f>SUMIF(Q29:Q47, 3, F29:F47)</f>
        <v>92723.13</v>
      </c>
      <c r="F48" s="124"/>
    </row>
    <row r="49" spans="1:17" ht="16.5" x14ac:dyDescent="0.2">
      <c r="A49" s="126" t="str">
        <f>CONCATENATE("Раздел: ",IF(Source!G123&lt;&gt;"Новый раздел", Source!G123, ""))</f>
        <v>Раздел: Пусконаладочные работы</v>
      </c>
      <c r="B49" s="127"/>
      <c r="C49" s="127"/>
      <c r="D49" s="127"/>
      <c r="E49" s="127"/>
      <c r="F49" s="127"/>
    </row>
    <row r="50" spans="1:17" ht="16.5" x14ac:dyDescent="0.2">
      <c r="A50" s="126" t="str">
        <f>CONCATENATE("Раздел: ",IF(Source!G159&lt;&gt;"Новый раздел", Source!G159, ""))</f>
        <v>Раздел: Материалы Заказчика</v>
      </c>
      <c r="B50" s="127"/>
      <c r="C50" s="127"/>
      <c r="D50" s="127"/>
      <c r="E50" s="127"/>
      <c r="F50" s="127"/>
    </row>
    <row r="51" spans="1:17" ht="14.25" x14ac:dyDescent="0.2">
      <c r="A51" s="128" t="s">
        <v>649</v>
      </c>
      <c r="B51" s="129"/>
      <c r="C51" s="129"/>
      <c r="D51" s="129"/>
      <c r="E51" s="129"/>
      <c r="F51" s="129"/>
    </row>
    <row r="52" spans="1:17" ht="14.25" x14ac:dyDescent="0.2">
      <c r="A52" s="78" t="s">
        <v>6</v>
      </c>
      <c r="B52" s="70" t="s">
        <v>268</v>
      </c>
      <c r="C52" s="70" t="s">
        <v>105</v>
      </c>
      <c r="D52" s="71">
        <f>ROUND(SUMIF(RV_DATA!W68:'RV_DATA'!W68, -605545368, RV_DATA!I68:'RV_DATA'!I68), 6)</f>
        <v>1040</v>
      </c>
      <c r="E52" s="79">
        <f>ROUND(RV_DATA!N68, 2)</f>
        <v>755</v>
      </c>
      <c r="F52" s="79">
        <f>ROUND(SUMIF(RV_DATA!W68:'RV_DATA'!W68, -605545368, RV_DATA!O68:'RV_DATA'!O68), 6)</f>
        <v>785200</v>
      </c>
      <c r="Q52">
        <v>3</v>
      </c>
    </row>
    <row r="53" spans="1:17" ht="15" x14ac:dyDescent="0.25">
      <c r="A53" s="124" t="s">
        <v>650</v>
      </c>
      <c r="B53" s="124"/>
      <c r="C53" s="124"/>
      <c r="D53" s="124"/>
      <c r="E53" s="125">
        <f>SUMIF(Q52:Q52, 3, F52:F52)</f>
        <v>785200</v>
      </c>
      <c r="F53" s="124"/>
    </row>
    <row r="54" spans="1:17" ht="16.5" x14ac:dyDescent="0.2">
      <c r="A54" s="126" t="str">
        <f>CONCATENATE("Раздел: ",IF(Source!G194&lt;&gt;"Новый раздел", Source!G194, ""))</f>
        <v>Раздел: Материалы не учтенные ценником</v>
      </c>
      <c r="B54" s="127"/>
      <c r="C54" s="127"/>
      <c r="D54" s="127"/>
      <c r="E54" s="127"/>
      <c r="F54" s="127"/>
    </row>
    <row r="55" spans="1:17" ht="14.25" x14ac:dyDescent="0.2">
      <c r="A55" s="128" t="s">
        <v>649</v>
      </c>
      <c r="B55" s="129"/>
      <c r="C55" s="129"/>
      <c r="D55" s="129"/>
      <c r="E55" s="129"/>
      <c r="F55" s="129"/>
    </row>
    <row r="56" spans="1:17" ht="14.25" x14ac:dyDescent="0.2">
      <c r="A56" s="78" t="s">
        <v>6</v>
      </c>
      <c r="B56" s="70" t="s">
        <v>274</v>
      </c>
      <c r="C56" s="70" t="s">
        <v>275</v>
      </c>
      <c r="D56" s="71">
        <f>ROUND(SUMIF(RV_DATA!W70:'RV_DATA'!W71, -340017142, RV_DATA!I70:'RV_DATA'!I71), 6)</f>
        <v>3</v>
      </c>
      <c r="E56" s="79">
        <f>ROUND(RV_DATA!N70, 2)</f>
        <v>3165</v>
      </c>
      <c r="F56" s="79">
        <f>ROUND(SUMIF(RV_DATA!W70:'RV_DATA'!W71, -340017142, RV_DATA!O70:'RV_DATA'!O71), 6)</f>
        <v>9495</v>
      </c>
      <c r="Q56">
        <v>3</v>
      </c>
    </row>
    <row r="57" spans="1:17" ht="14.25" x14ac:dyDescent="0.2">
      <c r="A57" s="78" t="s">
        <v>6</v>
      </c>
      <c r="B57" s="70" t="s">
        <v>277</v>
      </c>
      <c r="C57" s="70" t="s">
        <v>275</v>
      </c>
      <c r="D57" s="71">
        <f>ROUND(SUMIF(RV_DATA!W70:'RV_DATA'!W71, 162060224, RV_DATA!I70:'RV_DATA'!I71), 6)</f>
        <v>2</v>
      </c>
      <c r="E57" s="79">
        <f>ROUND(RV_DATA!N71, 2)</f>
        <v>1699</v>
      </c>
      <c r="F57" s="79">
        <f>ROUND(SUMIF(RV_DATA!W70:'RV_DATA'!W71, 162060224, RV_DATA!O70:'RV_DATA'!O71), 6)</f>
        <v>3398</v>
      </c>
      <c r="Q57">
        <v>3</v>
      </c>
    </row>
    <row r="58" spans="1:17" ht="15" x14ac:dyDescent="0.25">
      <c r="A58" s="124" t="s">
        <v>650</v>
      </c>
      <c r="B58" s="124"/>
      <c r="C58" s="124"/>
      <c r="D58" s="124"/>
      <c r="E58" s="125">
        <f>SUMIF(Q56:Q57, 3, F56:F57)</f>
        <v>12893</v>
      </c>
      <c r="F58" s="124"/>
    </row>
  </sheetData>
  <sortState ref="A56:R57">
    <sortCondition ref="A56"/>
  </sortState>
  <mergeCells count="25">
    <mergeCell ref="A2:F2"/>
    <mergeCell ref="A3:F3"/>
    <mergeCell ref="A4:A6"/>
    <mergeCell ref="B4:B6"/>
    <mergeCell ref="C4:C6"/>
    <mergeCell ref="D4:D6"/>
    <mergeCell ref="E4:F5"/>
    <mergeCell ref="A51:F51"/>
    <mergeCell ref="A8:F8"/>
    <mergeCell ref="A9:F9"/>
    <mergeCell ref="A10:F10"/>
    <mergeCell ref="A26:D26"/>
    <mergeCell ref="E26:F26"/>
    <mergeCell ref="A27:F27"/>
    <mergeCell ref="A28:F28"/>
    <mergeCell ref="A48:D48"/>
    <mergeCell ref="E48:F48"/>
    <mergeCell ref="A49:F49"/>
    <mergeCell ref="A50:F50"/>
    <mergeCell ref="A53:D53"/>
    <mergeCell ref="E53:F53"/>
    <mergeCell ref="A54:F54"/>
    <mergeCell ref="A55:F55"/>
    <mergeCell ref="A58:D58"/>
    <mergeCell ref="E58:F58"/>
  </mergeCells>
  <pageMargins left="0.6" right="0.4" top="0.65" bottom="0.4" header="0.4" footer="0.4"/>
  <pageSetup paperSize="9" scale="90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30"/>
  <sheetViews>
    <sheetView workbookViewId="0">
      <selection activeCell="A326" sqref="A326:AA326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41017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324</v>
      </c>
      <c r="C12" s="1">
        <v>0</v>
      </c>
      <c r="D12" s="1">
        <f>ROW(A259)</f>
        <v>259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7</v>
      </c>
      <c r="AC12" s="1" t="s">
        <v>8</v>
      </c>
      <c r="AD12" s="1" t="s">
        <v>9</v>
      </c>
      <c r="AE12" s="1" t="s">
        <v>10</v>
      </c>
      <c r="AF12" s="1" t="s">
        <v>11</v>
      </c>
      <c r="AG12" s="1" t="s">
        <v>12</v>
      </c>
      <c r="AH12" s="1" t="s">
        <v>13</v>
      </c>
      <c r="AI12" s="1" t="s">
        <v>12</v>
      </c>
      <c r="AJ12" s="1" t="s">
        <v>14</v>
      </c>
      <c r="AK12" s="1"/>
      <c r="AL12" s="1" t="s">
        <v>15</v>
      </c>
      <c r="AM12" s="1" t="s">
        <v>16</v>
      </c>
      <c r="AN12" s="1" t="s">
        <v>17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18</v>
      </c>
      <c r="AY12" s="1" t="s">
        <v>19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20</v>
      </c>
      <c r="BI12" s="1" t="s">
        <v>21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22</v>
      </c>
      <c r="BZ12" s="1" t="s">
        <v>23</v>
      </c>
      <c r="CA12" s="1" t="s">
        <v>24</v>
      </c>
      <c r="CB12" s="1" t="s">
        <v>25</v>
      </c>
      <c r="CC12" s="1" t="s">
        <v>25</v>
      </c>
      <c r="CD12" s="1" t="s">
        <v>25</v>
      </c>
      <c r="CE12" s="1" t="s">
        <v>26</v>
      </c>
      <c r="CF12" s="1">
        <v>0</v>
      </c>
      <c r="CG12" s="1">
        <v>0</v>
      </c>
      <c r="CH12" s="1">
        <v>8200</v>
      </c>
      <c r="CI12" s="1" t="s">
        <v>6</v>
      </c>
      <c r="CJ12" s="1" t="s">
        <v>6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B259</f>
        <v>324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1</v>
      </c>
      <c r="G18" s="2" t="str">
        <f t="shared" si="0"/>
        <v>Существующая электрическая сеть 6 кВ по территории СНТ " Фарфорист" и СНТ " Дружба"</v>
      </c>
      <c r="H18" s="2"/>
      <c r="I18" s="2"/>
      <c r="J18" s="2"/>
      <c r="K18" s="2"/>
      <c r="L18" s="2"/>
      <c r="M18" s="2"/>
      <c r="N18" s="2"/>
      <c r="O18" s="2">
        <f t="shared" ref="O18:AT18" si="1">O259</f>
        <v>2106052.11</v>
      </c>
      <c r="P18" s="2">
        <f t="shared" si="1"/>
        <v>1195472.3600000001</v>
      </c>
      <c r="Q18" s="2">
        <f t="shared" si="1"/>
        <v>214757.61</v>
      </c>
      <c r="R18" s="2">
        <f t="shared" si="1"/>
        <v>43819.66</v>
      </c>
      <c r="S18" s="2">
        <f t="shared" si="1"/>
        <v>695822.14</v>
      </c>
      <c r="T18" s="2">
        <f t="shared" si="1"/>
        <v>0</v>
      </c>
      <c r="U18" s="2">
        <f t="shared" si="1"/>
        <v>2832.8306627999987</v>
      </c>
      <c r="V18" s="2">
        <f t="shared" si="1"/>
        <v>118.26843</v>
      </c>
      <c r="W18" s="2">
        <f t="shared" si="1"/>
        <v>3367.85</v>
      </c>
      <c r="X18" s="2">
        <f t="shared" si="1"/>
        <v>708205.43</v>
      </c>
      <c r="Y18" s="2">
        <f t="shared" si="1"/>
        <v>430432.93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3244690.47</v>
      </c>
      <c r="AS18" s="2">
        <f t="shared" si="1"/>
        <v>2543032.81</v>
      </c>
      <c r="AT18" s="2">
        <f t="shared" si="1"/>
        <v>683287.78</v>
      </c>
      <c r="AU18" s="2">
        <f t="shared" ref="AU18:BZ18" si="2">AU259</f>
        <v>18369.88</v>
      </c>
      <c r="AV18" s="2">
        <f t="shared" si="2"/>
        <v>1195472.3600000001</v>
      </c>
      <c r="AW18" s="2">
        <f t="shared" si="2"/>
        <v>1195472.3600000001</v>
      </c>
      <c r="AX18" s="2">
        <f t="shared" si="2"/>
        <v>0</v>
      </c>
      <c r="AY18" s="2">
        <f t="shared" si="2"/>
        <v>1195472.3600000001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CA259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DG259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EM259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FS259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ROW(A230)</f>
        <v>230</v>
      </c>
      <c r="E20" s="1"/>
      <c r="F20" s="1" t="s">
        <v>4</v>
      </c>
      <c r="G20" s="1" t="s">
        <v>5</v>
      </c>
      <c r="H20" s="1" t="s">
        <v>6</v>
      </c>
      <c r="I20" s="1">
        <v>0</v>
      </c>
      <c r="J20" s="1" t="s">
        <v>6</v>
      </c>
      <c r="K20" s="1">
        <v>-1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45" x14ac:dyDescent="0.2">
      <c r="A22" s="2">
        <v>52</v>
      </c>
      <c r="B22" s="2">
        <f t="shared" ref="B22:G22" si="7">B230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1</v>
      </c>
      <c r="G22" s="2" t="str">
        <f t="shared" si="7"/>
        <v>Существующая электрическая сеть 6 кВ по территории СНТ " Фарфорист" и СНТ " Дружба"</v>
      </c>
      <c r="H22" s="2"/>
      <c r="I22" s="2"/>
      <c r="J22" s="2"/>
      <c r="K22" s="2"/>
      <c r="L22" s="2"/>
      <c r="M22" s="2"/>
      <c r="N22" s="2"/>
      <c r="O22" s="2">
        <f t="shared" ref="O22:AT22" si="8">O230</f>
        <v>2106052.11</v>
      </c>
      <c r="P22" s="2">
        <f t="shared" si="8"/>
        <v>1195472.3600000001</v>
      </c>
      <c r="Q22" s="2">
        <f t="shared" si="8"/>
        <v>214757.61</v>
      </c>
      <c r="R22" s="2">
        <f t="shared" si="8"/>
        <v>43819.66</v>
      </c>
      <c r="S22" s="2">
        <f t="shared" si="8"/>
        <v>695822.14</v>
      </c>
      <c r="T22" s="2">
        <f t="shared" si="8"/>
        <v>0</v>
      </c>
      <c r="U22" s="2">
        <f t="shared" si="8"/>
        <v>2832.8306627999987</v>
      </c>
      <c r="V22" s="2">
        <f t="shared" si="8"/>
        <v>118.26843</v>
      </c>
      <c r="W22" s="2">
        <f t="shared" si="8"/>
        <v>3367.85</v>
      </c>
      <c r="X22" s="2">
        <f t="shared" si="8"/>
        <v>708205.43</v>
      </c>
      <c r="Y22" s="2">
        <f t="shared" si="8"/>
        <v>430432.93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3244690.47</v>
      </c>
      <c r="AS22" s="2">
        <f t="shared" si="8"/>
        <v>2543032.81</v>
      </c>
      <c r="AT22" s="2">
        <f t="shared" si="8"/>
        <v>683287.78</v>
      </c>
      <c r="AU22" s="2">
        <f t="shared" ref="AU22:BZ22" si="9">AU230</f>
        <v>18369.88</v>
      </c>
      <c r="AV22" s="2">
        <f t="shared" si="9"/>
        <v>1195472.3600000001</v>
      </c>
      <c r="AW22" s="2">
        <f t="shared" si="9"/>
        <v>1195472.3600000001</v>
      </c>
      <c r="AX22" s="2">
        <f t="shared" si="9"/>
        <v>0</v>
      </c>
      <c r="AY22" s="2">
        <f t="shared" si="9"/>
        <v>1195472.3600000001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CA230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DG230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EM230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FS230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ROW(A44)</f>
        <v>44</v>
      </c>
      <c r="E24" s="1"/>
      <c r="F24" s="1" t="s">
        <v>27</v>
      </c>
      <c r="G24" s="1" t="s">
        <v>28</v>
      </c>
      <c r="H24" s="1" t="s">
        <v>6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6</v>
      </c>
      <c r="V24" s="1">
        <v>0</v>
      </c>
      <c r="W24" s="1"/>
      <c r="X24" s="1"/>
      <c r="Y24" s="1"/>
      <c r="Z24" s="1"/>
      <c r="AA24" s="1"/>
      <c r="AB24" s="1" t="s">
        <v>6</v>
      </c>
      <c r="AC24" s="1" t="s">
        <v>6</v>
      </c>
      <c r="AD24" s="1" t="s">
        <v>6</v>
      </c>
      <c r="AE24" s="1" t="s">
        <v>6</v>
      </c>
      <c r="AF24" s="1" t="s">
        <v>6</v>
      </c>
      <c r="AG24" s="1" t="s">
        <v>6</v>
      </c>
      <c r="AH24" s="1"/>
      <c r="AI24" s="1"/>
      <c r="AJ24" s="1"/>
      <c r="AK24" s="1"/>
      <c r="AL24" s="1"/>
      <c r="AM24" s="1"/>
      <c r="AN24" s="1"/>
      <c r="AO24" s="1"/>
      <c r="AP24" s="1" t="s">
        <v>6</v>
      </c>
      <c r="AQ24" s="1" t="s">
        <v>6</v>
      </c>
      <c r="AR24" s="1" t="s">
        <v>6</v>
      </c>
      <c r="AS24" s="1"/>
      <c r="AT24" s="1"/>
      <c r="AU24" s="1"/>
      <c r="AV24" s="1"/>
      <c r="AW24" s="1"/>
      <c r="AX24" s="1"/>
      <c r="AY24" s="1"/>
      <c r="AZ24" s="1" t="s">
        <v>6</v>
      </c>
      <c r="BA24" s="1"/>
      <c r="BB24" s="1" t="s">
        <v>6</v>
      </c>
      <c r="BC24" s="1" t="s">
        <v>6</v>
      </c>
      <c r="BD24" s="1" t="s">
        <v>6</v>
      </c>
      <c r="BE24" s="1" t="s">
        <v>6</v>
      </c>
      <c r="BF24" s="1" t="s">
        <v>6</v>
      </c>
      <c r="BG24" s="1" t="s">
        <v>6</v>
      </c>
      <c r="BH24" s="1" t="s">
        <v>6</v>
      </c>
      <c r="BI24" s="1" t="s">
        <v>6</v>
      </c>
      <c r="BJ24" s="1" t="s">
        <v>6</v>
      </c>
      <c r="BK24" s="1" t="s">
        <v>6</v>
      </c>
      <c r="BL24" s="1" t="s">
        <v>6</v>
      </c>
      <c r="BM24" s="1" t="s">
        <v>6</v>
      </c>
      <c r="BN24" s="1" t="s">
        <v>6</v>
      </c>
      <c r="BO24" s="1" t="s">
        <v>6</v>
      </c>
      <c r="BP24" s="1" t="s">
        <v>6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B44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Ремонтные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O44</f>
        <v>899486.49</v>
      </c>
      <c r="P26" s="2">
        <f t="shared" si="15"/>
        <v>224032.76</v>
      </c>
      <c r="Q26" s="2">
        <f t="shared" si="15"/>
        <v>114790.6</v>
      </c>
      <c r="R26" s="2">
        <f t="shared" si="15"/>
        <v>30743.439999999999</v>
      </c>
      <c r="S26" s="2">
        <f t="shared" si="15"/>
        <v>560663.13</v>
      </c>
      <c r="T26" s="2">
        <f t="shared" si="15"/>
        <v>0</v>
      </c>
      <c r="U26" s="2">
        <f t="shared" si="15"/>
        <v>2362.052794799999</v>
      </c>
      <c r="V26" s="2">
        <f t="shared" si="15"/>
        <v>86.036651999999989</v>
      </c>
      <c r="W26" s="2">
        <f t="shared" si="15"/>
        <v>38.369999999999997</v>
      </c>
      <c r="X26" s="2">
        <f t="shared" si="15"/>
        <v>570070.21</v>
      </c>
      <c r="Y26" s="2">
        <f t="shared" si="15"/>
        <v>336320.24</v>
      </c>
      <c r="Z26" s="2">
        <f t="shared" si="15"/>
        <v>0</v>
      </c>
      <c r="AA26" s="2">
        <f t="shared" si="15"/>
        <v>0</v>
      </c>
      <c r="AB26" s="2">
        <f t="shared" si="15"/>
        <v>899486.49</v>
      </c>
      <c r="AC26" s="2">
        <f t="shared" si="15"/>
        <v>224032.76</v>
      </c>
      <c r="AD26" s="2">
        <f t="shared" si="15"/>
        <v>114790.6</v>
      </c>
      <c r="AE26" s="2">
        <f t="shared" si="15"/>
        <v>30743.439999999999</v>
      </c>
      <c r="AF26" s="2">
        <f t="shared" si="15"/>
        <v>560663.13</v>
      </c>
      <c r="AG26" s="2">
        <f t="shared" si="15"/>
        <v>0</v>
      </c>
      <c r="AH26" s="2">
        <f t="shared" si="15"/>
        <v>2362.052794799999</v>
      </c>
      <c r="AI26" s="2">
        <f t="shared" si="15"/>
        <v>86.036651999999989</v>
      </c>
      <c r="AJ26" s="2">
        <f t="shared" si="15"/>
        <v>38.369999999999997</v>
      </c>
      <c r="AK26" s="2">
        <f t="shared" si="15"/>
        <v>570070.21</v>
      </c>
      <c r="AL26" s="2">
        <f t="shared" si="15"/>
        <v>336320.24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1805876.94</v>
      </c>
      <c r="AS26" s="2">
        <f t="shared" si="15"/>
        <v>1742411.84</v>
      </c>
      <c r="AT26" s="2">
        <f t="shared" si="15"/>
        <v>63465.1</v>
      </c>
      <c r="AU26" s="2">
        <f t="shared" ref="AU26:BZ26" si="16">AU44</f>
        <v>0</v>
      </c>
      <c r="AV26" s="2">
        <f t="shared" si="16"/>
        <v>224032.76</v>
      </c>
      <c r="AW26" s="2">
        <f t="shared" si="16"/>
        <v>224032.76</v>
      </c>
      <c r="AX26" s="2">
        <f t="shared" si="16"/>
        <v>0</v>
      </c>
      <c r="AY26" s="2">
        <f t="shared" si="16"/>
        <v>224032.76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CA44</f>
        <v>1805876.94</v>
      </c>
      <c r="CB26" s="2">
        <f t="shared" si="17"/>
        <v>1742411.84</v>
      </c>
      <c r="CC26" s="2">
        <f t="shared" si="17"/>
        <v>63465.1</v>
      </c>
      <c r="CD26" s="2">
        <f t="shared" si="17"/>
        <v>0</v>
      </c>
      <c r="CE26" s="2">
        <f t="shared" si="17"/>
        <v>224032.76</v>
      </c>
      <c r="CF26" s="2">
        <f t="shared" si="17"/>
        <v>224032.76</v>
      </c>
      <c r="CG26" s="2">
        <f t="shared" si="17"/>
        <v>0</v>
      </c>
      <c r="CH26" s="2">
        <f t="shared" si="17"/>
        <v>224032.76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DG44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EM44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FS44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ROW(SmtRes!A1)</f>
        <v>1</v>
      </c>
      <c r="D28">
        <f>ROW(EtalonRes!A1)</f>
        <v>1</v>
      </c>
      <c r="E28" t="s">
        <v>4</v>
      </c>
      <c r="F28" t="s">
        <v>29</v>
      </c>
      <c r="G28" t="s">
        <v>30</v>
      </c>
      <c r="H28" t="s">
        <v>31</v>
      </c>
      <c r="I28">
        <f>ROUND((1020*0.4*0.9)/100,9)</f>
        <v>3.6720000000000002</v>
      </c>
      <c r="J28">
        <v>0</v>
      </c>
      <c r="O28">
        <f t="shared" ref="O28:O42" si="21">ROUND(CP28,2)</f>
        <v>210348</v>
      </c>
      <c r="P28">
        <f t="shared" ref="P28:P42" si="22">ROUND(CQ28*I28,2)</f>
        <v>0</v>
      </c>
      <c r="Q28">
        <f t="shared" ref="Q28:Q42" si="23">ROUND(CR28*I28,2)</f>
        <v>0</v>
      </c>
      <c r="R28">
        <f t="shared" ref="R28:R42" si="24">ROUND(CS28*I28,2)</f>
        <v>0</v>
      </c>
      <c r="S28">
        <f t="shared" ref="S28:S42" si="25">ROUND(CT28*I28,2)</f>
        <v>210348</v>
      </c>
      <c r="T28">
        <f t="shared" ref="T28:T42" si="26">ROUND(CU28*I28,2)</f>
        <v>0</v>
      </c>
      <c r="U28">
        <f t="shared" ref="U28:U42" si="27">CV28*I28</f>
        <v>897.42945599999985</v>
      </c>
      <c r="V28">
        <f t="shared" ref="V28:V42" si="28">CW28*I28</f>
        <v>0</v>
      </c>
      <c r="W28">
        <f t="shared" ref="W28:W42" si="29">ROUND(CX28*I28,2)</f>
        <v>0</v>
      </c>
      <c r="X28">
        <f t="shared" ref="X28:X42" si="30">ROUND(CY28,2)</f>
        <v>168278.39999999999</v>
      </c>
      <c r="Y28">
        <f t="shared" ref="Y28:Y42" si="31">ROUND(CZ28,2)</f>
        <v>79932.240000000005</v>
      </c>
      <c r="AA28">
        <v>48276314</v>
      </c>
      <c r="AB28">
        <f t="shared" ref="AB28:AB42" si="32">ROUND((AC28+AD28+AF28),2)</f>
        <v>1906.3</v>
      </c>
      <c r="AC28">
        <f t="shared" ref="AC28:AC42" si="33">ROUND((ES28),2)</f>
        <v>0</v>
      </c>
      <c r="AD28">
        <f>ROUND(((((((ET28*1.2)*1.25)*1.15))-((((EU28*1.2)*1.25)*1.15)))+AE28),2)</f>
        <v>0</v>
      </c>
      <c r="AE28">
        <f>ROUND(((((EU28*1.2)*1.25)*1.15)),2)</f>
        <v>0</v>
      </c>
      <c r="AF28">
        <f>ROUND(((((EV28*1.2)*1.15)*1.15)),2)</f>
        <v>1906.3</v>
      </c>
      <c r="AG28">
        <f t="shared" ref="AG28:AG42" si="34">ROUND((AP28),2)</f>
        <v>0</v>
      </c>
      <c r="AH28">
        <f>((((EW28*1.2)*1.15)*1.15))</f>
        <v>244.39799999999994</v>
      </c>
      <c r="AI28">
        <f>((((EX28*1.2)*1.25)*1.15))</f>
        <v>0</v>
      </c>
      <c r="AJ28">
        <f t="shared" ref="AJ28:AJ42" si="35">(AS28)</f>
        <v>0</v>
      </c>
      <c r="AK28">
        <v>1201.2</v>
      </c>
      <c r="AL28">
        <v>0</v>
      </c>
      <c r="AM28">
        <v>0</v>
      </c>
      <c r="AN28">
        <v>0</v>
      </c>
      <c r="AO28">
        <v>1201.2</v>
      </c>
      <c r="AP28">
        <v>0</v>
      </c>
      <c r="AQ28">
        <v>154</v>
      </c>
      <c r="AR28">
        <v>0</v>
      </c>
      <c r="AS28">
        <v>0</v>
      </c>
      <c r="AT28">
        <v>80</v>
      </c>
      <c r="AU28">
        <v>38</v>
      </c>
      <c r="AV28">
        <v>1</v>
      </c>
      <c r="AW28">
        <v>1</v>
      </c>
      <c r="AZ28">
        <v>1</v>
      </c>
      <c r="BA28">
        <v>30.05</v>
      </c>
      <c r="BB28">
        <v>1</v>
      </c>
      <c r="BC28">
        <v>1</v>
      </c>
      <c r="BD28" t="s">
        <v>6</v>
      </c>
      <c r="BE28" t="s">
        <v>6</v>
      </c>
      <c r="BF28" t="s">
        <v>6</v>
      </c>
      <c r="BG28" t="s">
        <v>6</v>
      </c>
      <c r="BH28">
        <v>0</v>
      </c>
      <c r="BI28">
        <v>1</v>
      </c>
      <c r="BJ28" t="s">
        <v>32</v>
      </c>
      <c r="BM28">
        <v>1003</v>
      </c>
      <c r="BN28">
        <v>0</v>
      </c>
      <c r="BO28" t="s">
        <v>29</v>
      </c>
      <c r="BP28">
        <v>1</v>
      </c>
      <c r="BQ28">
        <v>2</v>
      </c>
      <c r="BR28">
        <v>0</v>
      </c>
      <c r="BS28">
        <v>30.05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6</v>
      </c>
      <c r="BZ28">
        <v>80</v>
      </c>
      <c r="CA28">
        <v>45</v>
      </c>
      <c r="CE28">
        <v>0</v>
      </c>
      <c r="CF28">
        <v>0</v>
      </c>
      <c r="CG28">
        <v>0</v>
      </c>
      <c r="CM28">
        <v>0</v>
      </c>
      <c r="CN28" t="s">
        <v>489</v>
      </c>
      <c r="CO28">
        <v>0</v>
      </c>
      <c r="CP28">
        <f t="shared" ref="CP28:CP42" si="36">(P28+Q28+S28)</f>
        <v>210348</v>
      </c>
      <c r="CQ28">
        <f t="shared" ref="CQ28:CQ42" si="37">AC28*BC28</f>
        <v>0</v>
      </c>
      <c r="CR28">
        <f t="shared" ref="CR28:CR42" si="38">AD28*BB28</f>
        <v>0</v>
      </c>
      <c r="CS28">
        <f t="shared" ref="CS28:CS42" si="39">AE28*BS28</f>
        <v>0</v>
      </c>
      <c r="CT28">
        <f t="shared" ref="CT28:CT42" si="40">AF28*BA28</f>
        <v>57284.315000000002</v>
      </c>
      <c r="CU28">
        <f t="shared" ref="CU28:CU42" si="41">AG28</f>
        <v>0</v>
      </c>
      <c r="CV28">
        <f t="shared" ref="CV28:CV42" si="42">AH28</f>
        <v>244.39799999999994</v>
      </c>
      <c r="CW28">
        <f t="shared" ref="CW28:CW42" si="43">AI28</f>
        <v>0</v>
      </c>
      <c r="CX28">
        <f t="shared" ref="CX28:CX42" si="44">AJ28</f>
        <v>0</v>
      </c>
      <c r="CY28">
        <f t="shared" ref="CY28:CY42" si="45">(((S28+R28)*AT28)/100)</f>
        <v>168278.39999999999</v>
      </c>
      <c r="CZ28">
        <f t="shared" ref="CZ28:CZ42" si="46">(((S28+R28)*AU28)/100)</f>
        <v>79932.240000000005</v>
      </c>
      <c r="DC28" t="s">
        <v>6</v>
      </c>
      <c r="DD28" t="s">
        <v>6</v>
      </c>
      <c r="DE28" t="s">
        <v>33</v>
      </c>
      <c r="DF28" t="s">
        <v>33</v>
      </c>
      <c r="DG28" t="s">
        <v>34</v>
      </c>
      <c r="DH28" t="s">
        <v>6</v>
      </c>
      <c r="DI28" t="s">
        <v>34</v>
      </c>
      <c r="DJ28" t="s">
        <v>33</v>
      </c>
      <c r="DK28" t="s">
        <v>6</v>
      </c>
      <c r="DL28" t="s">
        <v>6</v>
      </c>
      <c r="DM28" t="s">
        <v>6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31</v>
      </c>
      <c r="DW28" t="s">
        <v>31</v>
      </c>
      <c r="DX28">
        <v>1</v>
      </c>
      <c r="EE28">
        <v>39495493</v>
      </c>
      <c r="EF28">
        <v>2</v>
      </c>
      <c r="EG28" t="s">
        <v>35</v>
      </c>
      <c r="EH28">
        <v>0</v>
      </c>
      <c r="EI28" t="s">
        <v>6</v>
      </c>
      <c r="EJ28">
        <v>1</v>
      </c>
      <c r="EK28">
        <v>1003</v>
      </c>
      <c r="EL28" t="s">
        <v>36</v>
      </c>
      <c r="EM28" t="s">
        <v>37</v>
      </c>
      <c r="EO28" t="s">
        <v>38</v>
      </c>
      <c r="EQ28">
        <v>131072</v>
      </c>
      <c r="ER28">
        <v>1201.2</v>
      </c>
      <c r="ES28">
        <v>0</v>
      </c>
      <c r="ET28">
        <v>0</v>
      </c>
      <c r="EU28">
        <v>0</v>
      </c>
      <c r="EV28">
        <v>1201.2</v>
      </c>
      <c r="EW28">
        <v>154</v>
      </c>
      <c r="EX28">
        <v>0</v>
      </c>
      <c r="EY28">
        <v>0</v>
      </c>
      <c r="FQ28">
        <v>0</v>
      </c>
      <c r="FR28">
        <f t="shared" ref="FR28:FR42" si="47">ROUND(IF(AND(BH28=3,BI28=3),P28,0),2)</f>
        <v>0</v>
      </c>
      <c r="FS28">
        <v>0</v>
      </c>
      <c r="FU28" t="s">
        <v>39</v>
      </c>
      <c r="FX28">
        <v>80</v>
      </c>
      <c r="FY28">
        <v>38.25</v>
      </c>
      <c r="GA28" t="s">
        <v>6</v>
      </c>
      <c r="GD28">
        <v>1</v>
      </c>
      <c r="GF28">
        <v>809624927</v>
      </c>
      <c r="GG28">
        <v>2</v>
      </c>
      <c r="GH28">
        <v>1</v>
      </c>
      <c r="GI28">
        <v>2</v>
      </c>
      <c r="GJ28">
        <v>0</v>
      </c>
      <c r="GK28">
        <v>0</v>
      </c>
      <c r="GL28">
        <f t="shared" ref="GL28:GL42" si="48">ROUND(IF(AND(BH28=3,BI28=3,FS28&lt;&gt;0),P28,0),2)</f>
        <v>0</v>
      </c>
      <c r="GM28">
        <f t="shared" ref="GM28:GM42" si="49">ROUND(O28+X28+Y28,2)+GX28</f>
        <v>458558.64</v>
      </c>
      <c r="GN28">
        <f t="shared" ref="GN28:GN42" si="50">IF(OR(BI28=0,BI28=1),ROUND(O28+X28+Y28,2),0)</f>
        <v>458558.64</v>
      </c>
      <c r="GO28">
        <f t="shared" ref="GO28:GO42" si="51">IF(BI28=2,ROUND(O28+X28+Y28,2),0)</f>
        <v>0</v>
      </c>
      <c r="GP28">
        <f t="shared" ref="GP28:GP42" si="52">IF(BI28=4,ROUND(O28+X28+Y28,2)+GX28,0)</f>
        <v>0</v>
      </c>
      <c r="GR28">
        <v>0</v>
      </c>
      <c r="GS28">
        <v>3</v>
      </c>
      <c r="GT28">
        <v>0</v>
      </c>
      <c r="GU28" t="s">
        <v>6</v>
      </c>
      <c r="GV28">
        <f t="shared" ref="GV28:GV42" si="53">ROUND((GT28),2)</f>
        <v>0</v>
      </c>
      <c r="GW28">
        <v>1</v>
      </c>
      <c r="GX28">
        <f t="shared" ref="GX28:GX42" si="54">ROUND(HC28*I28,2)</f>
        <v>0</v>
      </c>
      <c r="HA28">
        <v>0</v>
      </c>
      <c r="HB28">
        <v>0</v>
      </c>
      <c r="HC28">
        <f t="shared" ref="HC28:HC42" si="55">GV28*GW28</f>
        <v>0</v>
      </c>
      <c r="IK28">
        <v>0</v>
      </c>
    </row>
    <row r="29" spans="1:245" x14ac:dyDescent="0.2">
      <c r="A29">
        <v>17</v>
      </c>
      <c r="B29">
        <v>1</v>
      </c>
      <c r="C29">
        <f>ROW(SmtRes!A2)</f>
        <v>2</v>
      </c>
      <c r="D29">
        <f>ROW(EtalonRes!A2)</f>
        <v>2</v>
      </c>
      <c r="E29" t="s">
        <v>40</v>
      </c>
      <c r="F29" t="s">
        <v>41</v>
      </c>
      <c r="G29" t="s">
        <v>42</v>
      </c>
      <c r="H29" t="s">
        <v>31</v>
      </c>
      <c r="I29">
        <f>ROUND((I28-I78/100),9)</f>
        <v>2.5224000000000002</v>
      </c>
      <c r="J29">
        <v>0</v>
      </c>
      <c r="O29">
        <f t="shared" si="21"/>
        <v>79843.47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79843.47</v>
      </c>
      <c r="T29">
        <f t="shared" si="26"/>
        <v>0</v>
      </c>
      <c r="U29">
        <f t="shared" si="27"/>
        <v>354.26981879999994</v>
      </c>
      <c r="V29">
        <f t="shared" si="28"/>
        <v>0</v>
      </c>
      <c r="W29">
        <f t="shared" si="29"/>
        <v>0</v>
      </c>
      <c r="X29">
        <f t="shared" si="30"/>
        <v>63874.78</v>
      </c>
      <c r="Y29">
        <f t="shared" si="31"/>
        <v>30340.52</v>
      </c>
      <c r="AA29">
        <v>48276314</v>
      </c>
      <c r="AB29">
        <f t="shared" si="32"/>
        <v>1053.3699999999999</v>
      </c>
      <c r="AC29">
        <f t="shared" si="33"/>
        <v>0</v>
      </c>
      <c r="AD29">
        <f>ROUND(((((((ET29*1.2)*1.25)*1.15))-((((EU29*1.2)*1.25)*1.15)))+AE29),2)</f>
        <v>0</v>
      </c>
      <c r="AE29">
        <f>ROUND(((((EU29*1.2)*1.25)*1.15)),2)</f>
        <v>0</v>
      </c>
      <c r="AF29">
        <f>ROUND(((((EV29*1.2)*1.15)*1.15)),2)</f>
        <v>1053.3699999999999</v>
      </c>
      <c r="AG29">
        <f t="shared" si="34"/>
        <v>0</v>
      </c>
      <c r="AH29">
        <f>((((EW29*1.2)*1.15)*1.15))</f>
        <v>140.44949999999997</v>
      </c>
      <c r="AI29">
        <f>((((EX29*1.2)*1.25)*1.15))</f>
        <v>0</v>
      </c>
      <c r="AJ29">
        <f t="shared" si="35"/>
        <v>0</v>
      </c>
      <c r="AK29">
        <v>663.75</v>
      </c>
      <c r="AL29">
        <v>0</v>
      </c>
      <c r="AM29">
        <v>0</v>
      </c>
      <c r="AN29">
        <v>0</v>
      </c>
      <c r="AO29">
        <v>663.75</v>
      </c>
      <c r="AP29">
        <v>0</v>
      </c>
      <c r="AQ29">
        <v>88.5</v>
      </c>
      <c r="AR29">
        <v>0</v>
      </c>
      <c r="AS29">
        <v>0</v>
      </c>
      <c r="AT29">
        <v>80</v>
      </c>
      <c r="AU29">
        <v>38</v>
      </c>
      <c r="AV29">
        <v>1</v>
      </c>
      <c r="AW29">
        <v>1</v>
      </c>
      <c r="AZ29">
        <v>1</v>
      </c>
      <c r="BA29">
        <v>30.05</v>
      </c>
      <c r="BB29">
        <v>1</v>
      </c>
      <c r="BC29">
        <v>1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43</v>
      </c>
      <c r="BM29">
        <v>1003</v>
      </c>
      <c r="BN29">
        <v>0</v>
      </c>
      <c r="BO29" t="s">
        <v>41</v>
      </c>
      <c r="BP29">
        <v>1</v>
      </c>
      <c r="BQ29">
        <v>2</v>
      </c>
      <c r="BR29">
        <v>0</v>
      </c>
      <c r="BS29">
        <v>30.05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80</v>
      </c>
      <c r="CA29">
        <v>45</v>
      </c>
      <c r="CE29">
        <v>0</v>
      </c>
      <c r="CF29">
        <v>0</v>
      </c>
      <c r="CG29">
        <v>0</v>
      </c>
      <c r="CM29">
        <v>0</v>
      </c>
      <c r="CN29" t="s">
        <v>489</v>
      </c>
      <c r="CO29">
        <v>0</v>
      </c>
      <c r="CP29">
        <f t="shared" si="36"/>
        <v>79843.47</v>
      </c>
      <c r="CQ29">
        <f t="shared" si="37"/>
        <v>0</v>
      </c>
      <c r="CR29">
        <f t="shared" si="38"/>
        <v>0</v>
      </c>
      <c r="CS29">
        <f t="shared" si="39"/>
        <v>0</v>
      </c>
      <c r="CT29">
        <f t="shared" si="40"/>
        <v>31653.768499999998</v>
      </c>
      <c r="CU29">
        <f t="shared" si="41"/>
        <v>0</v>
      </c>
      <c r="CV29">
        <f t="shared" si="42"/>
        <v>140.44949999999997</v>
      </c>
      <c r="CW29">
        <f t="shared" si="43"/>
        <v>0</v>
      </c>
      <c r="CX29">
        <f t="shared" si="44"/>
        <v>0</v>
      </c>
      <c r="CY29">
        <f t="shared" si="45"/>
        <v>63874.775999999998</v>
      </c>
      <c r="CZ29">
        <f t="shared" si="46"/>
        <v>30340.518599999999</v>
      </c>
      <c r="DC29" t="s">
        <v>6</v>
      </c>
      <c r="DD29" t="s">
        <v>6</v>
      </c>
      <c r="DE29" t="s">
        <v>33</v>
      </c>
      <c r="DF29" t="s">
        <v>33</v>
      </c>
      <c r="DG29" t="s">
        <v>34</v>
      </c>
      <c r="DH29" t="s">
        <v>6</v>
      </c>
      <c r="DI29" t="s">
        <v>34</v>
      </c>
      <c r="DJ29" t="s">
        <v>33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">
        <v>31</v>
      </c>
      <c r="DX29">
        <v>1</v>
      </c>
      <c r="EE29">
        <v>39495493</v>
      </c>
      <c r="EF29">
        <v>2</v>
      </c>
      <c r="EG29" t="s">
        <v>35</v>
      </c>
      <c r="EH29">
        <v>0</v>
      </c>
      <c r="EI29" t="s">
        <v>6</v>
      </c>
      <c r="EJ29">
        <v>1</v>
      </c>
      <c r="EK29">
        <v>1003</v>
      </c>
      <c r="EL29" t="s">
        <v>36</v>
      </c>
      <c r="EM29" t="s">
        <v>37</v>
      </c>
      <c r="EO29" t="s">
        <v>38</v>
      </c>
      <c r="EQ29">
        <v>131072</v>
      </c>
      <c r="ER29">
        <v>663.75</v>
      </c>
      <c r="ES29">
        <v>0</v>
      </c>
      <c r="ET29">
        <v>0</v>
      </c>
      <c r="EU29">
        <v>0</v>
      </c>
      <c r="EV29">
        <v>663.75</v>
      </c>
      <c r="EW29">
        <v>88.5</v>
      </c>
      <c r="EX29">
        <v>0</v>
      </c>
      <c r="EY29">
        <v>0</v>
      </c>
      <c r="FQ29">
        <v>0</v>
      </c>
      <c r="FR29">
        <f t="shared" si="47"/>
        <v>0</v>
      </c>
      <c r="FS29">
        <v>0</v>
      </c>
      <c r="FU29" t="s">
        <v>39</v>
      </c>
      <c r="FX29">
        <v>80</v>
      </c>
      <c r="FY29">
        <v>38.25</v>
      </c>
      <c r="GA29" t="s">
        <v>6</v>
      </c>
      <c r="GD29">
        <v>1</v>
      </c>
      <c r="GF29">
        <v>-422558440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8"/>
        <v>0</v>
      </c>
      <c r="GM29">
        <f t="shared" si="49"/>
        <v>174058.77</v>
      </c>
      <c r="GN29">
        <f t="shared" si="50"/>
        <v>174058.77</v>
      </c>
      <c r="GO29">
        <f t="shared" si="51"/>
        <v>0</v>
      </c>
      <c r="GP29">
        <f t="shared" si="52"/>
        <v>0</v>
      </c>
      <c r="GR29">
        <v>0</v>
      </c>
      <c r="GS29">
        <v>3</v>
      </c>
      <c r="GT29">
        <v>0</v>
      </c>
      <c r="GU29" t="s">
        <v>6</v>
      </c>
      <c r="GV29">
        <f t="shared" si="53"/>
        <v>0</v>
      </c>
      <c r="GW29">
        <v>1</v>
      </c>
      <c r="GX29">
        <f t="shared" si="54"/>
        <v>0</v>
      </c>
      <c r="HA29">
        <v>0</v>
      </c>
      <c r="HB29">
        <v>0</v>
      </c>
      <c r="HC29">
        <f t="shared" si="55"/>
        <v>0</v>
      </c>
      <c r="IK29">
        <v>0</v>
      </c>
    </row>
    <row r="30" spans="1:245" x14ac:dyDescent="0.2">
      <c r="A30">
        <v>17</v>
      </c>
      <c r="B30">
        <v>1</v>
      </c>
      <c r="C30">
        <f>ROW(SmtRes!A4)</f>
        <v>4</v>
      </c>
      <c r="D30">
        <f>ROW(EtalonRes!A4)</f>
        <v>4</v>
      </c>
      <c r="E30" t="s">
        <v>44</v>
      </c>
      <c r="F30" t="s">
        <v>45</v>
      </c>
      <c r="G30" t="s">
        <v>46</v>
      </c>
      <c r="H30" t="s">
        <v>47</v>
      </c>
      <c r="I30">
        <f>ROUND((I28-I29)*175,9)</f>
        <v>201.18</v>
      </c>
      <c r="J30">
        <v>0</v>
      </c>
      <c r="O30">
        <f t="shared" si="21"/>
        <v>14920.11</v>
      </c>
      <c r="P30">
        <f t="shared" si="22"/>
        <v>0</v>
      </c>
      <c r="Q30">
        <f t="shared" si="23"/>
        <v>14920.11</v>
      </c>
      <c r="R30">
        <f t="shared" si="24"/>
        <v>3540.37</v>
      </c>
      <c r="S30">
        <f t="shared" si="25"/>
        <v>0</v>
      </c>
      <c r="T30">
        <f t="shared" si="26"/>
        <v>0</v>
      </c>
      <c r="U30">
        <f t="shared" si="27"/>
        <v>0</v>
      </c>
      <c r="V30">
        <f t="shared" si="28"/>
        <v>8.3288519999999995</v>
      </c>
      <c r="W30">
        <f t="shared" si="29"/>
        <v>0</v>
      </c>
      <c r="X30">
        <f t="shared" si="30"/>
        <v>0</v>
      </c>
      <c r="Y30">
        <f t="shared" si="31"/>
        <v>0</v>
      </c>
      <c r="AA30">
        <v>48276314</v>
      </c>
      <c r="AB30">
        <f t="shared" si="32"/>
        <v>5.9</v>
      </c>
      <c r="AC30">
        <f t="shared" si="33"/>
        <v>0</v>
      </c>
      <c r="AD30">
        <f>ROUND(((((ET30*1.2)*1.15))+ROUND(((((EU30*1.2)*1.15))*1.6),2)),2)</f>
        <v>5.9</v>
      </c>
      <c r="AE30">
        <f>ROUND(((((EU30*1.2)*1.15))+ROUND(((((EU30*1.2)*1.15))*1.6),2)),2)</f>
        <v>1.4</v>
      </c>
      <c r="AF30">
        <f>ROUND(((((EV30*1.2)*1.15))+ROUND(((((EV30*1.2)*1.15))*1.6),2)),2)</f>
        <v>0</v>
      </c>
      <c r="AG30">
        <f t="shared" si="34"/>
        <v>0</v>
      </c>
      <c r="AH30">
        <f>(((EW30*1.2)*1.15))</f>
        <v>0</v>
      </c>
      <c r="AI30">
        <f>(((EX30*1.2)*1.15))</f>
        <v>4.1399999999999992E-2</v>
      </c>
      <c r="AJ30">
        <f t="shared" si="35"/>
        <v>0</v>
      </c>
      <c r="AK30">
        <v>4.2699999999999996</v>
      </c>
      <c r="AL30">
        <v>0</v>
      </c>
      <c r="AM30">
        <v>3.65</v>
      </c>
      <c r="AN30">
        <v>0.39</v>
      </c>
      <c r="AO30">
        <v>0</v>
      </c>
      <c r="AP30">
        <v>0</v>
      </c>
      <c r="AQ30">
        <v>0</v>
      </c>
      <c r="AR30">
        <v>0.03</v>
      </c>
      <c r="AS30">
        <v>0</v>
      </c>
      <c r="AT30">
        <v>0</v>
      </c>
      <c r="AU30">
        <v>0</v>
      </c>
      <c r="AV30">
        <v>1</v>
      </c>
      <c r="AW30">
        <v>1</v>
      </c>
      <c r="AZ30">
        <v>1</v>
      </c>
      <c r="BA30">
        <v>12.57</v>
      </c>
      <c r="BB30">
        <v>12.57</v>
      </c>
      <c r="BC30">
        <v>1</v>
      </c>
      <c r="BD30" t="s">
        <v>6</v>
      </c>
      <c r="BE30" t="s">
        <v>6</v>
      </c>
      <c r="BF30" t="s">
        <v>6</v>
      </c>
      <c r="BG30" t="s">
        <v>6</v>
      </c>
      <c r="BH30">
        <v>0</v>
      </c>
      <c r="BI30">
        <v>1</v>
      </c>
      <c r="BJ30" t="s">
        <v>48</v>
      </c>
      <c r="BM30">
        <v>700004</v>
      </c>
      <c r="BN30">
        <v>0</v>
      </c>
      <c r="BO30" t="s">
        <v>45</v>
      </c>
      <c r="BP30">
        <v>1</v>
      </c>
      <c r="BQ30">
        <v>19</v>
      </c>
      <c r="BR30">
        <v>0</v>
      </c>
      <c r="BS30">
        <v>12.57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6</v>
      </c>
      <c r="BZ30">
        <v>0</v>
      </c>
      <c r="CA30">
        <v>0</v>
      </c>
      <c r="CE30">
        <v>0</v>
      </c>
      <c r="CF30">
        <v>0</v>
      </c>
      <c r="CG30">
        <v>0</v>
      </c>
      <c r="CM30">
        <v>0</v>
      </c>
      <c r="CN30" t="s">
        <v>490</v>
      </c>
      <c r="CO30">
        <v>0</v>
      </c>
      <c r="CP30">
        <f t="shared" si="36"/>
        <v>14920.11</v>
      </c>
      <c r="CQ30">
        <f t="shared" si="37"/>
        <v>0</v>
      </c>
      <c r="CR30">
        <f t="shared" si="38"/>
        <v>74.163000000000011</v>
      </c>
      <c r="CS30">
        <f t="shared" si="39"/>
        <v>17.597999999999999</v>
      </c>
      <c r="CT30">
        <f t="shared" si="40"/>
        <v>0</v>
      </c>
      <c r="CU30">
        <f t="shared" si="41"/>
        <v>0</v>
      </c>
      <c r="CV30">
        <f t="shared" si="42"/>
        <v>0</v>
      </c>
      <c r="CW30">
        <f t="shared" si="43"/>
        <v>4.1399999999999992E-2</v>
      </c>
      <c r="CX30">
        <f t="shared" si="44"/>
        <v>0</v>
      </c>
      <c r="CY30">
        <f t="shared" si="45"/>
        <v>0</v>
      </c>
      <c r="CZ30">
        <f t="shared" si="46"/>
        <v>0</v>
      </c>
      <c r="DC30" t="s">
        <v>6</v>
      </c>
      <c r="DD30" t="s">
        <v>6</v>
      </c>
      <c r="DE30" t="s">
        <v>49</v>
      </c>
      <c r="DF30" t="s">
        <v>49</v>
      </c>
      <c r="DG30" t="s">
        <v>49</v>
      </c>
      <c r="DH30" t="s">
        <v>6</v>
      </c>
      <c r="DI30" t="s">
        <v>49</v>
      </c>
      <c r="DJ30" t="s">
        <v>49</v>
      </c>
      <c r="DK30" t="s">
        <v>6</v>
      </c>
      <c r="DL30" t="s">
        <v>6</v>
      </c>
      <c r="DM30" t="s">
        <v>6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47</v>
      </c>
      <c r="DW30" t="s">
        <v>47</v>
      </c>
      <c r="DX30">
        <v>1</v>
      </c>
      <c r="EE30">
        <v>39495705</v>
      </c>
      <c r="EF30">
        <v>19</v>
      </c>
      <c r="EG30" t="s">
        <v>50</v>
      </c>
      <c r="EH30">
        <v>0</v>
      </c>
      <c r="EI30" t="s">
        <v>6</v>
      </c>
      <c r="EJ30">
        <v>1</v>
      </c>
      <c r="EK30">
        <v>700004</v>
      </c>
      <c r="EL30" t="s">
        <v>51</v>
      </c>
      <c r="EM30" t="s">
        <v>52</v>
      </c>
      <c r="EO30" t="s">
        <v>53</v>
      </c>
      <c r="EQ30">
        <v>131072</v>
      </c>
      <c r="ER30">
        <v>4.2699999999999996</v>
      </c>
      <c r="ES30">
        <v>0</v>
      </c>
      <c r="ET30">
        <v>3.65</v>
      </c>
      <c r="EU30">
        <v>0.39</v>
      </c>
      <c r="EV30">
        <v>0</v>
      </c>
      <c r="EW30">
        <v>0</v>
      </c>
      <c r="EX30">
        <v>0.03</v>
      </c>
      <c r="EY30">
        <v>0</v>
      </c>
      <c r="FQ30">
        <v>0</v>
      </c>
      <c r="FR30">
        <f t="shared" si="47"/>
        <v>0</v>
      </c>
      <c r="FS30">
        <v>0</v>
      </c>
      <c r="FX30">
        <v>0</v>
      </c>
      <c r="FY30">
        <v>0</v>
      </c>
      <c r="GA30" t="s">
        <v>6</v>
      </c>
      <c r="GD30">
        <v>1</v>
      </c>
      <c r="GF30">
        <v>1727496558</v>
      </c>
      <c r="GG30">
        <v>2</v>
      </c>
      <c r="GH30">
        <v>1</v>
      </c>
      <c r="GI30">
        <v>2</v>
      </c>
      <c r="GJ30">
        <v>0</v>
      </c>
      <c r="GK30">
        <v>0</v>
      </c>
      <c r="GL30">
        <f t="shared" si="48"/>
        <v>0</v>
      </c>
      <c r="GM30">
        <f t="shared" si="49"/>
        <v>14920.11</v>
      </c>
      <c r="GN30">
        <f t="shared" si="50"/>
        <v>14920.11</v>
      </c>
      <c r="GO30">
        <f t="shared" si="51"/>
        <v>0</v>
      </c>
      <c r="GP30">
        <f t="shared" si="52"/>
        <v>0</v>
      </c>
      <c r="GR30">
        <v>0</v>
      </c>
      <c r="GS30">
        <v>3</v>
      </c>
      <c r="GT30">
        <v>0</v>
      </c>
      <c r="GU30" t="s">
        <v>6</v>
      </c>
      <c r="GV30">
        <f t="shared" si="53"/>
        <v>0</v>
      </c>
      <c r="GW30">
        <v>1</v>
      </c>
      <c r="GX30">
        <f t="shared" si="54"/>
        <v>0</v>
      </c>
      <c r="HA30">
        <v>0</v>
      </c>
      <c r="HB30">
        <v>0</v>
      </c>
      <c r="HC30">
        <f t="shared" si="55"/>
        <v>0</v>
      </c>
      <c r="IK30">
        <v>0</v>
      </c>
    </row>
    <row r="31" spans="1:245" x14ac:dyDescent="0.2">
      <c r="A31">
        <v>17</v>
      </c>
      <c r="B31">
        <v>1</v>
      </c>
      <c r="C31">
        <f>ROW(SmtRes!A5)</f>
        <v>5</v>
      </c>
      <c r="D31">
        <f>ROW(EtalonRes!A5)</f>
        <v>5</v>
      </c>
      <c r="E31" t="s">
        <v>54</v>
      </c>
      <c r="F31" t="s">
        <v>55</v>
      </c>
      <c r="G31" t="s">
        <v>56</v>
      </c>
      <c r="H31" t="s">
        <v>47</v>
      </c>
      <c r="I31">
        <f>ROUND(I30,9)</f>
        <v>201.18</v>
      </c>
      <c r="J31">
        <v>0</v>
      </c>
      <c r="O31">
        <f t="shared" si="21"/>
        <v>29826.79</v>
      </c>
      <c r="P31">
        <f t="shared" si="22"/>
        <v>0</v>
      </c>
      <c r="Q31">
        <f t="shared" si="23"/>
        <v>29826.79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48276314</v>
      </c>
      <c r="AB31">
        <f t="shared" si="32"/>
        <v>17.32</v>
      </c>
      <c r="AC31">
        <f t="shared" si="33"/>
        <v>0</v>
      </c>
      <c r="AD31">
        <f>ROUND(((ET31)+ROUND(((EU31)*1.85),2)),2)</f>
        <v>17.32</v>
      </c>
      <c r="AE31">
        <f>ROUND(((EU31)+ROUND(((EU31)*1.85),2)),2)</f>
        <v>0</v>
      </c>
      <c r="AF31">
        <f>ROUND(((EV31)+ROUND(((EV31)*1.85),2)),2)</f>
        <v>0</v>
      </c>
      <c r="AG31">
        <f t="shared" si="34"/>
        <v>0</v>
      </c>
      <c r="AH31">
        <f>(EW31)</f>
        <v>0</v>
      </c>
      <c r="AI31">
        <f>(EX31)</f>
        <v>0</v>
      </c>
      <c r="AJ31">
        <f t="shared" si="35"/>
        <v>0</v>
      </c>
      <c r="AK31">
        <v>17.32</v>
      </c>
      <c r="AL31">
        <v>0</v>
      </c>
      <c r="AM31">
        <v>17.32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8.56</v>
      </c>
      <c r="BB31">
        <v>8.56</v>
      </c>
      <c r="BC31">
        <v>1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57</v>
      </c>
      <c r="BM31">
        <v>700001</v>
      </c>
      <c r="BN31">
        <v>0</v>
      </c>
      <c r="BO31" t="s">
        <v>6</v>
      </c>
      <c r="BP31">
        <v>0</v>
      </c>
      <c r="BQ31">
        <v>10</v>
      </c>
      <c r="BR31">
        <v>0</v>
      </c>
      <c r="BS31">
        <v>8.56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E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6"/>
        <v>29826.79</v>
      </c>
      <c r="CQ31">
        <f t="shared" si="37"/>
        <v>0</v>
      </c>
      <c r="CR31">
        <f t="shared" si="38"/>
        <v>148.25920000000002</v>
      </c>
      <c r="CS31">
        <f t="shared" si="39"/>
        <v>0</v>
      </c>
      <c r="CT31">
        <f t="shared" si="40"/>
        <v>0</v>
      </c>
      <c r="CU31">
        <f t="shared" si="41"/>
        <v>0</v>
      </c>
      <c r="CV31">
        <f t="shared" si="42"/>
        <v>0</v>
      </c>
      <c r="CW31">
        <f t="shared" si="43"/>
        <v>0</v>
      </c>
      <c r="CX31">
        <f t="shared" si="44"/>
        <v>0</v>
      </c>
      <c r="CY31">
        <f t="shared" si="45"/>
        <v>0</v>
      </c>
      <c r="CZ31">
        <f t="shared" si="46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47</v>
      </c>
      <c r="DW31" t="s">
        <v>47</v>
      </c>
      <c r="DX31">
        <v>1</v>
      </c>
      <c r="EE31">
        <v>39495455</v>
      </c>
      <c r="EF31">
        <v>10</v>
      </c>
      <c r="EG31" t="s">
        <v>58</v>
      </c>
      <c r="EH31">
        <v>0</v>
      </c>
      <c r="EI31" t="s">
        <v>6</v>
      </c>
      <c r="EJ31">
        <v>1</v>
      </c>
      <c r="EK31">
        <v>700001</v>
      </c>
      <c r="EL31" t="s">
        <v>59</v>
      </c>
      <c r="EM31" t="s">
        <v>60</v>
      </c>
      <c r="EO31" t="s">
        <v>6</v>
      </c>
      <c r="EQ31">
        <v>131072</v>
      </c>
      <c r="ER31">
        <v>17.32</v>
      </c>
      <c r="ES31">
        <v>0</v>
      </c>
      <c r="ET31">
        <v>17.32</v>
      </c>
      <c r="EU31">
        <v>0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47"/>
        <v>0</v>
      </c>
      <c r="FS31">
        <v>0</v>
      </c>
      <c r="FX31">
        <v>0</v>
      </c>
      <c r="FY31">
        <v>0</v>
      </c>
      <c r="GA31" t="s">
        <v>6</v>
      </c>
      <c r="GD31">
        <v>1</v>
      </c>
      <c r="GF31">
        <v>773191028</v>
      </c>
      <c r="GG31">
        <v>2</v>
      </c>
      <c r="GH31">
        <v>1</v>
      </c>
      <c r="GI31">
        <v>2</v>
      </c>
      <c r="GJ31">
        <v>0</v>
      </c>
      <c r="GK31">
        <v>0</v>
      </c>
      <c r="GL31">
        <f t="shared" si="48"/>
        <v>0</v>
      </c>
      <c r="GM31">
        <f t="shared" si="49"/>
        <v>29826.79</v>
      </c>
      <c r="GN31">
        <f t="shared" si="50"/>
        <v>29826.79</v>
      </c>
      <c r="GO31">
        <f t="shared" si="51"/>
        <v>0</v>
      </c>
      <c r="GP31">
        <f t="shared" si="52"/>
        <v>0</v>
      </c>
      <c r="GR31">
        <v>0</v>
      </c>
      <c r="GS31">
        <v>3</v>
      </c>
      <c r="GT31">
        <v>0</v>
      </c>
      <c r="GU31" t="s">
        <v>6</v>
      </c>
      <c r="GV31">
        <f t="shared" si="53"/>
        <v>0</v>
      </c>
      <c r="GW31">
        <v>1</v>
      </c>
      <c r="GX31">
        <f t="shared" si="54"/>
        <v>0</v>
      </c>
      <c r="HA31">
        <v>0</v>
      </c>
      <c r="HB31">
        <v>0</v>
      </c>
      <c r="HC31">
        <f t="shared" si="55"/>
        <v>0</v>
      </c>
      <c r="IK31">
        <v>0</v>
      </c>
    </row>
    <row r="32" spans="1:245" x14ac:dyDescent="0.2">
      <c r="A32">
        <v>17</v>
      </c>
      <c r="B32">
        <v>1</v>
      </c>
      <c r="C32">
        <f>ROW(SmtRes!A10)</f>
        <v>10</v>
      </c>
      <c r="D32">
        <f>ROW(EtalonRes!A10)</f>
        <v>10</v>
      </c>
      <c r="E32" t="s">
        <v>61</v>
      </c>
      <c r="F32" t="s">
        <v>62</v>
      </c>
      <c r="G32" t="s">
        <v>63</v>
      </c>
      <c r="H32" t="s">
        <v>64</v>
      </c>
      <c r="I32">
        <f>ROUND(60/1000,9)</f>
        <v>0.06</v>
      </c>
      <c r="J32">
        <v>0</v>
      </c>
      <c r="O32">
        <f t="shared" si="21"/>
        <v>9072.6299999999992</v>
      </c>
      <c r="P32">
        <f t="shared" si="22"/>
        <v>5586.8</v>
      </c>
      <c r="Q32">
        <f t="shared" si="23"/>
        <v>0</v>
      </c>
      <c r="R32">
        <f t="shared" si="24"/>
        <v>0</v>
      </c>
      <c r="S32">
        <f t="shared" si="25"/>
        <v>3485.83</v>
      </c>
      <c r="T32">
        <f t="shared" si="26"/>
        <v>0</v>
      </c>
      <c r="U32">
        <f t="shared" si="27"/>
        <v>13.711679999999996</v>
      </c>
      <c r="V32">
        <f t="shared" si="28"/>
        <v>0</v>
      </c>
      <c r="W32">
        <f t="shared" si="29"/>
        <v>0</v>
      </c>
      <c r="X32">
        <f t="shared" si="30"/>
        <v>3485.83</v>
      </c>
      <c r="Y32">
        <f t="shared" si="31"/>
        <v>1917.21</v>
      </c>
      <c r="AA32">
        <v>48276314</v>
      </c>
      <c r="AB32">
        <f t="shared" si="32"/>
        <v>17822.990000000002</v>
      </c>
      <c r="AC32">
        <f t="shared" si="33"/>
        <v>15889.64</v>
      </c>
      <c r="AD32">
        <f>ROUND(((((((ET32*1.2)*1.15)*1.25))-((((EU32*1.2)*1.15)*1.25)))+AE32),2)</f>
        <v>0</v>
      </c>
      <c r="AE32">
        <f>ROUND(((((EU32*1.2)*1.15)*1.25)),2)</f>
        <v>0</v>
      </c>
      <c r="AF32">
        <f>ROUND(((((EV32*1.2)*1.15)*1.15)),2)</f>
        <v>1933.35</v>
      </c>
      <c r="AG32">
        <f t="shared" si="34"/>
        <v>0</v>
      </c>
      <c r="AH32">
        <f>((((EW32*1.2)*1.15)*1.15))</f>
        <v>228.52799999999993</v>
      </c>
      <c r="AI32">
        <f>((((EX32*1.2)*1.15)*1.25))</f>
        <v>0</v>
      </c>
      <c r="AJ32">
        <f t="shared" si="35"/>
        <v>0</v>
      </c>
      <c r="AK32">
        <v>17107.88</v>
      </c>
      <c r="AL32">
        <v>15889.64</v>
      </c>
      <c r="AM32">
        <v>0</v>
      </c>
      <c r="AN32">
        <v>0</v>
      </c>
      <c r="AO32">
        <v>1218.24</v>
      </c>
      <c r="AP32">
        <v>0</v>
      </c>
      <c r="AQ32">
        <v>144</v>
      </c>
      <c r="AR32">
        <v>0</v>
      </c>
      <c r="AS32">
        <v>0</v>
      </c>
      <c r="AT32">
        <v>100</v>
      </c>
      <c r="AU32">
        <v>55</v>
      </c>
      <c r="AV32">
        <v>1</v>
      </c>
      <c r="AW32">
        <v>1</v>
      </c>
      <c r="AZ32">
        <v>1</v>
      </c>
      <c r="BA32">
        <v>30.05</v>
      </c>
      <c r="BB32">
        <v>1</v>
      </c>
      <c r="BC32">
        <v>5.86</v>
      </c>
      <c r="BD32" t="s">
        <v>6</v>
      </c>
      <c r="BE32" t="s">
        <v>6</v>
      </c>
      <c r="BF32" t="s">
        <v>6</v>
      </c>
      <c r="BG32" t="s">
        <v>6</v>
      </c>
      <c r="BH32">
        <v>0</v>
      </c>
      <c r="BI32">
        <v>1</v>
      </c>
      <c r="BJ32" t="s">
        <v>65</v>
      </c>
      <c r="BM32">
        <v>34001</v>
      </c>
      <c r="BN32">
        <v>0</v>
      </c>
      <c r="BO32" t="s">
        <v>62</v>
      </c>
      <c r="BP32">
        <v>1</v>
      </c>
      <c r="BQ32">
        <v>2</v>
      </c>
      <c r="BR32">
        <v>0</v>
      </c>
      <c r="BS32">
        <v>30.05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6</v>
      </c>
      <c r="BZ32">
        <v>100</v>
      </c>
      <c r="CA32">
        <v>65</v>
      </c>
      <c r="CE32">
        <v>0</v>
      </c>
      <c r="CF32">
        <v>0</v>
      </c>
      <c r="CG32">
        <v>0</v>
      </c>
      <c r="CM32">
        <v>0</v>
      </c>
      <c r="CN32" t="s">
        <v>491</v>
      </c>
      <c r="CO32">
        <v>0</v>
      </c>
      <c r="CP32">
        <f t="shared" si="36"/>
        <v>9072.630000000001</v>
      </c>
      <c r="CQ32">
        <f t="shared" si="37"/>
        <v>93113.290399999998</v>
      </c>
      <c r="CR32">
        <f t="shared" si="38"/>
        <v>0</v>
      </c>
      <c r="CS32">
        <f t="shared" si="39"/>
        <v>0</v>
      </c>
      <c r="CT32">
        <f t="shared" si="40"/>
        <v>58097.167499999996</v>
      </c>
      <c r="CU32">
        <f t="shared" si="41"/>
        <v>0</v>
      </c>
      <c r="CV32">
        <f t="shared" si="42"/>
        <v>228.52799999999993</v>
      </c>
      <c r="CW32">
        <f t="shared" si="43"/>
        <v>0</v>
      </c>
      <c r="CX32">
        <f t="shared" si="44"/>
        <v>0</v>
      </c>
      <c r="CY32">
        <f t="shared" si="45"/>
        <v>3485.83</v>
      </c>
      <c r="CZ32">
        <f t="shared" si="46"/>
        <v>1917.2065</v>
      </c>
      <c r="DC32" t="s">
        <v>6</v>
      </c>
      <c r="DD32" t="s">
        <v>6</v>
      </c>
      <c r="DE32" t="s">
        <v>66</v>
      </c>
      <c r="DF32" t="s">
        <v>66</v>
      </c>
      <c r="DG32" t="s">
        <v>34</v>
      </c>
      <c r="DH32" t="s">
        <v>6</v>
      </c>
      <c r="DI32" t="s">
        <v>34</v>
      </c>
      <c r="DJ32" t="s">
        <v>66</v>
      </c>
      <c r="DK32" t="s">
        <v>6</v>
      </c>
      <c r="DL32" t="s">
        <v>6</v>
      </c>
      <c r="DM32" t="s">
        <v>6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64</v>
      </c>
      <c r="DW32" t="s">
        <v>64</v>
      </c>
      <c r="DX32">
        <v>1</v>
      </c>
      <c r="EE32">
        <v>39495573</v>
      </c>
      <c r="EF32">
        <v>2</v>
      </c>
      <c r="EG32" t="s">
        <v>35</v>
      </c>
      <c r="EH32">
        <v>0</v>
      </c>
      <c r="EI32" t="s">
        <v>6</v>
      </c>
      <c r="EJ32">
        <v>1</v>
      </c>
      <c r="EK32">
        <v>34001</v>
      </c>
      <c r="EL32" t="s">
        <v>67</v>
      </c>
      <c r="EM32" t="s">
        <v>68</v>
      </c>
      <c r="EO32" t="s">
        <v>69</v>
      </c>
      <c r="EQ32">
        <v>0</v>
      </c>
      <c r="ER32">
        <v>17107.88</v>
      </c>
      <c r="ES32">
        <v>15889.64</v>
      </c>
      <c r="ET32">
        <v>0</v>
      </c>
      <c r="EU32">
        <v>0</v>
      </c>
      <c r="EV32">
        <v>1218.24</v>
      </c>
      <c r="EW32">
        <v>144</v>
      </c>
      <c r="EX32">
        <v>0</v>
      </c>
      <c r="EY32">
        <v>0</v>
      </c>
      <c r="FQ32">
        <v>0</v>
      </c>
      <c r="FR32">
        <f t="shared" si="47"/>
        <v>0</v>
      </c>
      <c r="FS32">
        <v>0</v>
      </c>
      <c r="FU32" t="s">
        <v>39</v>
      </c>
      <c r="FX32">
        <v>100</v>
      </c>
      <c r="FY32">
        <v>55.25</v>
      </c>
      <c r="GA32" t="s">
        <v>6</v>
      </c>
      <c r="GD32">
        <v>1</v>
      </c>
      <c r="GF32">
        <v>-183174308</v>
      </c>
      <c r="GG32">
        <v>2</v>
      </c>
      <c r="GH32">
        <v>1</v>
      </c>
      <c r="GI32">
        <v>2</v>
      </c>
      <c r="GJ32">
        <v>0</v>
      </c>
      <c r="GK32">
        <v>0</v>
      </c>
      <c r="GL32">
        <f t="shared" si="48"/>
        <v>0</v>
      </c>
      <c r="GM32">
        <f t="shared" si="49"/>
        <v>14475.67</v>
      </c>
      <c r="GN32">
        <f t="shared" si="50"/>
        <v>14475.67</v>
      </c>
      <c r="GO32">
        <f t="shared" si="51"/>
        <v>0</v>
      </c>
      <c r="GP32">
        <f t="shared" si="52"/>
        <v>0</v>
      </c>
      <c r="GR32">
        <v>0</v>
      </c>
      <c r="GS32">
        <v>0</v>
      </c>
      <c r="GT32">
        <v>0</v>
      </c>
      <c r="GU32" t="s">
        <v>6</v>
      </c>
      <c r="GV32">
        <f t="shared" si="53"/>
        <v>0</v>
      </c>
      <c r="GW32">
        <v>1</v>
      </c>
      <c r="GX32">
        <f t="shared" si="54"/>
        <v>0</v>
      </c>
      <c r="HA32">
        <v>0</v>
      </c>
      <c r="HB32">
        <v>0</v>
      </c>
      <c r="HC32">
        <f t="shared" si="55"/>
        <v>0</v>
      </c>
      <c r="IK32">
        <v>0</v>
      </c>
    </row>
    <row r="33" spans="1:245" x14ac:dyDescent="0.2">
      <c r="A33">
        <v>17</v>
      </c>
      <c r="B33">
        <v>1</v>
      </c>
      <c r="C33">
        <f>ROW(SmtRes!A14)</f>
        <v>14</v>
      </c>
      <c r="D33">
        <f>ROW(EtalonRes!A13)</f>
        <v>13</v>
      </c>
      <c r="E33" t="s">
        <v>70</v>
      </c>
      <c r="F33" t="s">
        <v>71</v>
      </c>
      <c r="G33" t="s">
        <v>72</v>
      </c>
      <c r="H33" t="s">
        <v>73</v>
      </c>
      <c r="I33">
        <v>10</v>
      </c>
      <c r="J33">
        <v>0</v>
      </c>
      <c r="O33">
        <f t="shared" si="21"/>
        <v>6028.91</v>
      </c>
      <c r="P33">
        <f t="shared" si="22"/>
        <v>3910.38</v>
      </c>
      <c r="Q33">
        <f t="shared" si="23"/>
        <v>0</v>
      </c>
      <c r="R33">
        <f t="shared" si="24"/>
        <v>0</v>
      </c>
      <c r="S33">
        <f t="shared" si="25"/>
        <v>2118.5300000000002</v>
      </c>
      <c r="T33">
        <f t="shared" si="26"/>
        <v>0</v>
      </c>
      <c r="U33">
        <f t="shared" si="27"/>
        <v>7.59</v>
      </c>
      <c r="V33">
        <f t="shared" si="28"/>
        <v>0</v>
      </c>
      <c r="W33">
        <f t="shared" si="29"/>
        <v>0</v>
      </c>
      <c r="X33">
        <f t="shared" si="30"/>
        <v>2118.5300000000002</v>
      </c>
      <c r="Y33">
        <f t="shared" si="31"/>
        <v>1377.04</v>
      </c>
      <c r="AA33">
        <v>48276314</v>
      </c>
      <c r="AB33">
        <f t="shared" si="32"/>
        <v>140.51</v>
      </c>
      <c r="AC33">
        <f t="shared" si="33"/>
        <v>133.46</v>
      </c>
      <c r="AD33">
        <f>ROUND((((((ET33*1.2)*1.15))-(((EU33*1.2)*1.15)))+AE33),2)</f>
        <v>0</v>
      </c>
      <c r="AE33">
        <f>ROUND((((EU33*1.2)*1.15)),2)</f>
        <v>0</v>
      </c>
      <c r="AF33">
        <f>ROUND((((EV33*1.2)*1.15)),2)</f>
        <v>7.05</v>
      </c>
      <c r="AG33">
        <f t="shared" si="34"/>
        <v>0</v>
      </c>
      <c r="AH33">
        <f>(((EW33*1.2)*1.15))</f>
        <v>0.75900000000000001</v>
      </c>
      <c r="AI33">
        <f>(((EX33*1.2)*1.15))</f>
        <v>0</v>
      </c>
      <c r="AJ33">
        <f t="shared" si="35"/>
        <v>0</v>
      </c>
      <c r="AK33">
        <v>138.57</v>
      </c>
      <c r="AL33">
        <v>133.46</v>
      </c>
      <c r="AM33">
        <v>0</v>
      </c>
      <c r="AN33">
        <v>0</v>
      </c>
      <c r="AO33">
        <v>5.1100000000000003</v>
      </c>
      <c r="AP33">
        <v>0</v>
      </c>
      <c r="AQ33">
        <v>0.55000000000000004</v>
      </c>
      <c r="AR33">
        <v>0</v>
      </c>
      <c r="AS33">
        <v>0</v>
      </c>
      <c r="AT33">
        <v>100</v>
      </c>
      <c r="AU33">
        <v>65</v>
      </c>
      <c r="AV33">
        <v>1</v>
      </c>
      <c r="AW33">
        <v>1</v>
      </c>
      <c r="AZ33">
        <v>1</v>
      </c>
      <c r="BA33">
        <v>30.05</v>
      </c>
      <c r="BB33">
        <v>1</v>
      </c>
      <c r="BC33">
        <v>2.93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2</v>
      </c>
      <c r="BJ33" t="s">
        <v>74</v>
      </c>
      <c r="BM33">
        <v>110006</v>
      </c>
      <c r="BN33">
        <v>0</v>
      </c>
      <c r="BO33" t="s">
        <v>71</v>
      </c>
      <c r="BP33">
        <v>1</v>
      </c>
      <c r="BQ33">
        <v>3</v>
      </c>
      <c r="BR33">
        <v>0</v>
      </c>
      <c r="BS33">
        <v>30.05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100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490</v>
      </c>
      <c r="CO33">
        <v>0</v>
      </c>
      <c r="CP33">
        <f t="shared" si="36"/>
        <v>6028.91</v>
      </c>
      <c r="CQ33">
        <f t="shared" si="37"/>
        <v>391.03780000000006</v>
      </c>
      <c r="CR33">
        <f t="shared" si="38"/>
        <v>0</v>
      </c>
      <c r="CS33">
        <f t="shared" si="39"/>
        <v>0</v>
      </c>
      <c r="CT33">
        <f t="shared" si="40"/>
        <v>211.85249999999999</v>
      </c>
      <c r="CU33">
        <f t="shared" si="41"/>
        <v>0</v>
      </c>
      <c r="CV33">
        <f t="shared" si="42"/>
        <v>0.75900000000000001</v>
      </c>
      <c r="CW33">
        <f t="shared" si="43"/>
        <v>0</v>
      </c>
      <c r="CX33">
        <f t="shared" si="44"/>
        <v>0</v>
      </c>
      <c r="CY33">
        <f t="shared" si="45"/>
        <v>2118.5300000000002</v>
      </c>
      <c r="CZ33">
        <f t="shared" si="46"/>
        <v>1377.0445000000002</v>
      </c>
      <c r="DC33" t="s">
        <v>6</v>
      </c>
      <c r="DD33" t="s">
        <v>6</v>
      </c>
      <c r="DE33" t="s">
        <v>49</v>
      </c>
      <c r="DF33" t="s">
        <v>49</v>
      </c>
      <c r="DG33" t="s">
        <v>49</v>
      </c>
      <c r="DH33" t="s">
        <v>6</v>
      </c>
      <c r="DI33" t="s">
        <v>49</v>
      </c>
      <c r="DJ33" t="s">
        <v>49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73</v>
      </c>
      <c r="DW33" t="s">
        <v>73</v>
      </c>
      <c r="DX33">
        <v>1</v>
      </c>
      <c r="EE33">
        <v>39495444</v>
      </c>
      <c r="EF33">
        <v>3</v>
      </c>
      <c r="EG33" t="s">
        <v>75</v>
      </c>
      <c r="EH33">
        <v>0</v>
      </c>
      <c r="EI33" t="s">
        <v>6</v>
      </c>
      <c r="EJ33">
        <v>2</v>
      </c>
      <c r="EK33">
        <v>110006</v>
      </c>
      <c r="EL33" t="s">
        <v>76</v>
      </c>
      <c r="EM33" t="s">
        <v>77</v>
      </c>
      <c r="EO33" t="s">
        <v>53</v>
      </c>
      <c r="EQ33">
        <v>0</v>
      </c>
      <c r="ER33">
        <v>138.57</v>
      </c>
      <c r="ES33">
        <v>133.46</v>
      </c>
      <c r="ET33">
        <v>0</v>
      </c>
      <c r="EU33">
        <v>0</v>
      </c>
      <c r="EV33">
        <v>5.1100000000000003</v>
      </c>
      <c r="EW33">
        <v>0.55000000000000004</v>
      </c>
      <c r="EX33">
        <v>0</v>
      </c>
      <c r="EY33">
        <v>0</v>
      </c>
      <c r="FQ33">
        <v>0</v>
      </c>
      <c r="FR33">
        <f t="shared" si="47"/>
        <v>0</v>
      </c>
      <c r="FS33">
        <v>0</v>
      </c>
      <c r="FX33">
        <v>100</v>
      </c>
      <c r="FY33">
        <v>65</v>
      </c>
      <c r="GA33" t="s">
        <v>6</v>
      </c>
      <c r="GD33">
        <v>1</v>
      </c>
      <c r="GF33">
        <v>1754843613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48"/>
        <v>0</v>
      </c>
      <c r="GM33">
        <f t="shared" si="49"/>
        <v>9524.48</v>
      </c>
      <c r="GN33">
        <f t="shared" si="50"/>
        <v>0</v>
      </c>
      <c r="GO33">
        <f t="shared" si="51"/>
        <v>9524.48</v>
      </c>
      <c r="GP33">
        <f t="shared" si="52"/>
        <v>0</v>
      </c>
      <c r="GR33">
        <v>0</v>
      </c>
      <c r="GS33">
        <v>0</v>
      </c>
      <c r="GT33">
        <v>0</v>
      </c>
      <c r="GU33" t="s">
        <v>6</v>
      </c>
      <c r="GV33">
        <f t="shared" si="53"/>
        <v>0</v>
      </c>
      <c r="GW33">
        <v>1</v>
      </c>
      <c r="GX33">
        <f t="shared" si="54"/>
        <v>0</v>
      </c>
      <c r="HA33">
        <v>0</v>
      </c>
      <c r="HB33">
        <v>0</v>
      </c>
      <c r="HC33">
        <f t="shared" si="55"/>
        <v>0</v>
      </c>
      <c r="IK33">
        <v>0</v>
      </c>
    </row>
    <row r="34" spans="1:245" x14ac:dyDescent="0.2">
      <c r="A34">
        <v>18</v>
      </c>
      <c r="B34">
        <v>1</v>
      </c>
      <c r="C34">
        <v>12</v>
      </c>
      <c r="E34" t="s">
        <v>78</v>
      </c>
      <c r="F34" t="s">
        <v>79</v>
      </c>
      <c r="G34" t="s">
        <v>80</v>
      </c>
      <c r="H34" t="s">
        <v>81</v>
      </c>
      <c r="I34">
        <f>I33*J34</f>
        <v>-20</v>
      </c>
      <c r="J34">
        <v>-2</v>
      </c>
      <c r="O34">
        <f t="shared" si="21"/>
        <v>-3880.78</v>
      </c>
      <c r="P34">
        <f t="shared" si="22"/>
        <v>-3880.78</v>
      </c>
      <c r="Q34">
        <f t="shared" si="23"/>
        <v>0</v>
      </c>
      <c r="R34">
        <f t="shared" si="24"/>
        <v>0</v>
      </c>
      <c r="S34">
        <f t="shared" si="25"/>
        <v>0</v>
      </c>
      <c r="T34">
        <f t="shared" si="26"/>
        <v>0</v>
      </c>
      <c r="U34">
        <f t="shared" si="27"/>
        <v>0</v>
      </c>
      <c r="V34">
        <f t="shared" si="28"/>
        <v>0</v>
      </c>
      <c r="W34">
        <f t="shared" si="29"/>
        <v>-0.8</v>
      </c>
      <c r="X34">
        <f t="shared" si="30"/>
        <v>0</v>
      </c>
      <c r="Y34">
        <f t="shared" si="31"/>
        <v>0</v>
      </c>
      <c r="AA34">
        <v>48276314</v>
      </c>
      <c r="AB34">
        <f t="shared" si="32"/>
        <v>66.680000000000007</v>
      </c>
      <c r="AC34">
        <f t="shared" si="33"/>
        <v>66.680000000000007</v>
      </c>
      <c r="AD34">
        <f>ROUND((((ET34)-(EU34))+AE34),2)</f>
        <v>0</v>
      </c>
      <c r="AE34">
        <f>ROUND((EU34),2)</f>
        <v>0</v>
      </c>
      <c r="AF34">
        <f>ROUND((EV34),2)</f>
        <v>0</v>
      </c>
      <c r="AG34">
        <f t="shared" si="34"/>
        <v>0</v>
      </c>
      <c r="AH34">
        <f>(EW34)</f>
        <v>0</v>
      </c>
      <c r="AI34">
        <f>(EX34)</f>
        <v>0</v>
      </c>
      <c r="AJ34">
        <f t="shared" si="35"/>
        <v>0.04</v>
      </c>
      <c r="AK34">
        <v>66.680000000000007</v>
      </c>
      <c r="AL34">
        <v>66.680000000000007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0.04</v>
      </c>
      <c r="AT34">
        <v>100</v>
      </c>
      <c r="AU34">
        <v>65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2.91</v>
      </c>
      <c r="BD34" t="s">
        <v>6</v>
      </c>
      <c r="BE34" t="s">
        <v>6</v>
      </c>
      <c r="BF34" t="s">
        <v>6</v>
      </c>
      <c r="BG34" t="s">
        <v>6</v>
      </c>
      <c r="BH34">
        <v>3</v>
      </c>
      <c r="BI34">
        <v>2</v>
      </c>
      <c r="BJ34" t="s">
        <v>82</v>
      </c>
      <c r="BM34">
        <v>110006</v>
      </c>
      <c r="BN34">
        <v>0</v>
      </c>
      <c r="BO34" t="s">
        <v>79</v>
      </c>
      <c r="BP34">
        <v>1</v>
      </c>
      <c r="BQ34">
        <v>3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6</v>
      </c>
      <c r="BZ34">
        <v>100</v>
      </c>
      <c r="CA34">
        <v>65</v>
      </c>
      <c r="CE34">
        <v>0</v>
      </c>
      <c r="CF34">
        <v>0</v>
      </c>
      <c r="CG34">
        <v>0</v>
      </c>
      <c r="CM34">
        <v>0</v>
      </c>
      <c r="CN34" t="s">
        <v>6</v>
      </c>
      <c r="CO34">
        <v>0</v>
      </c>
      <c r="CP34">
        <f t="shared" si="36"/>
        <v>-3880.78</v>
      </c>
      <c r="CQ34">
        <f t="shared" si="37"/>
        <v>194.03880000000004</v>
      </c>
      <c r="CR34">
        <f t="shared" si="38"/>
        <v>0</v>
      </c>
      <c r="CS34">
        <f t="shared" si="39"/>
        <v>0</v>
      </c>
      <c r="CT34">
        <f t="shared" si="40"/>
        <v>0</v>
      </c>
      <c r="CU34">
        <f t="shared" si="41"/>
        <v>0</v>
      </c>
      <c r="CV34">
        <f t="shared" si="42"/>
        <v>0</v>
      </c>
      <c r="CW34">
        <f t="shared" si="43"/>
        <v>0</v>
      </c>
      <c r="CX34">
        <f t="shared" si="44"/>
        <v>0.04</v>
      </c>
      <c r="CY34">
        <f t="shared" si="45"/>
        <v>0</v>
      </c>
      <c r="CZ34">
        <f t="shared" si="46"/>
        <v>0</v>
      </c>
      <c r="DC34" t="s">
        <v>6</v>
      </c>
      <c r="DD34" t="s">
        <v>6</v>
      </c>
      <c r="DE34" t="s">
        <v>6</v>
      </c>
      <c r="DF34" t="s">
        <v>6</v>
      </c>
      <c r="DG34" t="s">
        <v>6</v>
      </c>
      <c r="DH34" t="s">
        <v>6</v>
      </c>
      <c r="DI34" t="s">
        <v>6</v>
      </c>
      <c r="DJ34" t="s">
        <v>6</v>
      </c>
      <c r="DK34" t="s">
        <v>6</v>
      </c>
      <c r="DL34" t="s">
        <v>6</v>
      </c>
      <c r="DM34" t="s">
        <v>6</v>
      </c>
      <c r="DN34">
        <v>0</v>
      </c>
      <c r="DO34">
        <v>0</v>
      </c>
      <c r="DP34">
        <v>1</v>
      </c>
      <c r="DQ34">
        <v>1</v>
      </c>
      <c r="DU34">
        <v>1010</v>
      </c>
      <c r="DV34" t="s">
        <v>81</v>
      </c>
      <c r="DW34" t="s">
        <v>81</v>
      </c>
      <c r="DX34">
        <v>1</v>
      </c>
      <c r="EE34">
        <v>39495444</v>
      </c>
      <c r="EF34">
        <v>3</v>
      </c>
      <c r="EG34" t="s">
        <v>75</v>
      </c>
      <c r="EH34">
        <v>0</v>
      </c>
      <c r="EI34" t="s">
        <v>6</v>
      </c>
      <c r="EJ34">
        <v>2</v>
      </c>
      <c r="EK34">
        <v>110006</v>
      </c>
      <c r="EL34" t="s">
        <v>76</v>
      </c>
      <c r="EM34" t="s">
        <v>77</v>
      </c>
      <c r="EO34" t="s">
        <v>6</v>
      </c>
      <c r="EQ34">
        <v>32768</v>
      </c>
      <c r="ER34">
        <v>66.680000000000007</v>
      </c>
      <c r="ES34">
        <v>66.680000000000007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47"/>
        <v>0</v>
      </c>
      <c r="FS34">
        <v>0</v>
      </c>
      <c r="FX34">
        <v>100</v>
      </c>
      <c r="FY34">
        <v>65</v>
      </c>
      <c r="GA34" t="s">
        <v>6</v>
      </c>
      <c r="GD34">
        <v>1</v>
      </c>
      <c r="GF34">
        <v>-29388401</v>
      </c>
      <c r="GG34">
        <v>2</v>
      </c>
      <c r="GH34">
        <v>1</v>
      </c>
      <c r="GI34">
        <v>2</v>
      </c>
      <c r="GJ34">
        <v>0</v>
      </c>
      <c r="GK34">
        <v>0</v>
      </c>
      <c r="GL34">
        <f t="shared" si="48"/>
        <v>0</v>
      </c>
      <c r="GM34">
        <f t="shared" si="49"/>
        <v>-3880.78</v>
      </c>
      <c r="GN34">
        <f t="shared" si="50"/>
        <v>0</v>
      </c>
      <c r="GO34">
        <f t="shared" si="51"/>
        <v>-3880.78</v>
      </c>
      <c r="GP34">
        <f t="shared" si="52"/>
        <v>0</v>
      </c>
      <c r="GR34">
        <v>0</v>
      </c>
      <c r="GS34">
        <v>0</v>
      </c>
      <c r="GT34">
        <v>0</v>
      </c>
      <c r="GU34" t="s">
        <v>6</v>
      </c>
      <c r="GV34">
        <f t="shared" si="53"/>
        <v>0</v>
      </c>
      <c r="GW34">
        <v>1</v>
      </c>
      <c r="GX34">
        <f t="shared" si="54"/>
        <v>0</v>
      </c>
      <c r="HA34">
        <v>0</v>
      </c>
      <c r="HB34">
        <v>0</v>
      </c>
      <c r="HC34">
        <f t="shared" si="55"/>
        <v>0</v>
      </c>
      <c r="IK34">
        <v>0</v>
      </c>
    </row>
    <row r="35" spans="1:245" x14ac:dyDescent="0.2">
      <c r="A35">
        <v>18</v>
      </c>
      <c r="B35">
        <v>1</v>
      </c>
      <c r="C35">
        <v>13</v>
      </c>
      <c r="E35" t="s">
        <v>83</v>
      </c>
      <c r="F35" t="s">
        <v>84</v>
      </c>
      <c r="G35" t="s">
        <v>85</v>
      </c>
      <c r="H35" t="s">
        <v>81</v>
      </c>
      <c r="I35">
        <f>I33*J35</f>
        <v>20</v>
      </c>
      <c r="J35">
        <v>2</v>
      </c>
      <c r="O35">
        <f t="shared" si="21"/>
        <v>7043.6</v>
      </c>
      <c r="P35">
        <f t="shared" si="22"/>
        <v>7043.6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48276314</v>
      </c>
      <c r="AB35">
        <f t="shared" si="32"/>
        <v>352.18</v>
      </c>
      <c r="AC35">
        <f t="shared" si="33"/>
        <v>352.18</v>
      </c>
      <c r="AD35">
        <f>ROUND((((ET35)-(EU35))+AE35),2)</f>
        <v>0</v>
      </c>
      <c r="AE35">
        <f>ROUND((EU35),2)</f>
        <v>0</v>
      </c>
      <c r="AF35">
        <f>ROUND((EV35),2)</f>
        <v>0</v>
      </c>
      <c r="AG35">
        <f t="shared" si="34"/>
        <v>0</v>
      </c>
      <c r="AH35">
        <f>(EW35)</f>
        <v>0</v>
      </c>
      <c r="AI35">
        <f>(EX35)</f>
        <v>0</v>
      </c>
      <c r="AJ35">
        <f t="shared" si="35"/>
        <v>0</v>
      </c>
      <c r="AK35">
        <v>352.18</v>
      </c>
      <c r="AL35">
        <v>352.18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100</v>
      </c>
      <c r="AU35">
        <v>65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2</v>
      </c>
      <c r="BJ35" t="s">
        <v>86</v>
      </c>
      <c r="BM35">
        <v>110006</v>
      </c>
      <c r="BN35">
        <v>0</v>
      </c>
      <c r="BO35" t="s">
        <v>6</v>
      </c>
      <c r="BP35">
        <v>0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100</v>
      </c>
      <c r="CA35">
        <v>65</v>
      </c>
      <c r="CE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6"/>
        <v>7043.6</v>
      </c>
      <c r="CQ35">
        <f t="shared" si="37"/>
        <v>352.18</v>
      </c>
      <c r="CR35">
        <f t="shared" si="38"/>
        <v>0</v>
      </c>
      <c r="CS35">
        <f t="shared" si="39"/>
        <v>0</v>
      </c>
      <c r="CT35">
        <f t="shared" si="40"/>
        <v>0</v>
      </c>
      <c r="CU35">
        <f t="shared" si="41"/>
        <v>0</v>
      </c>
      <c r="CV35">
        <f t="shared" si="42"/>
        <v>0</v>
      </c>
      <c r="CW35">
        <f t="shared" si="43"/>
        <v>0</v>
      </c>
      <c r="CX35">
        <f t="shared" si="44"/>
        <v>0</v>
      </c>
      <c r="CY35">
        <f t="shared" si="45"/>
        <v>0</v>
      </c>
      <c r="CZ35">
        <f t="shared" si="46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81</v>
      </c>
      <c r="DW35" t="s">
        <v>81</v>
      </c>
      <c r="DX35">
        <v>1</v>
      </c>
      <c r="EE35">
        <v>39495444</v>
      </c>
      <c r="EF35">
        <v>3</v>
      </c>
      <c r="EG35" t="s">
        <v>75</v>
      </c>
      <c r="EH35">
        <v>0</v>
      </c>
      <c r="EI35" t="s">
        <v>6</v>
      </c>
      <c r="EJ35">
        <v>2</v>
      </c>
      <c r="EK35">
        <v>110006</v>
      </c>
      <c r="EL35" t="s">
        <v>76</v>
      </c>
      <c r="EM35" t="s">
        <v>77</v>
      </c>
      <c r="EO35" t="s">
        <v>6</v>
      </c>
      <c r="EQ35">
        <v>0</v>
      </c>
      <c r="ER35">
        <v>352.18</v>
      </c>
      <c r="ES35">
        <v>352.18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7"/>
        <v>0</v>
      </c>
      <c r="FS35">
        <v>0</v>
      </c>
      <c r="FX35">
        <v>100</v>
      </c>
      <c r="FY35">
        <v>65</v>
      </c>
      <c r="GA35" t="s">
        <v>6</v>
      </c>
      <c r="GD35">
        <v>1</v>
      </c>
      <c r="GF35">
        <v>356919503</v>
      </c>
      <c r="GG35">
        <v>2</v>
      </c>
      <c r="GH35">
        <v>1</v>
      </c>
      <c r="GI35">
        <v>-2</v>
      </c>
      <c r="GJ35">
        <v>0</v>
      </c>
      <c r="GK35">
        <v>0</v>
      </c>
      <c r="GL35">
        <f t="shared" si="48"/>
        <v>0</v>
      </c>
      <c r="GM35">
        <f t="shared" si="49"/>
        <v>7043.6</v>
      </c>
      <c r="GN35">
        <f t="shared" si="50"/>
        <v>0</v>
      </c>
      <c r="GO35">
        <f t="shared" si="51"/>
        <v>7043.6</v>
      </c>
      <c r="GP35">
        <f t="shared" si="52"/>
        <v>0</v>
      </c>
      <c r="GR35">
        <v>0</v>
      </c>
      <c r="GS35">
        <v>0</v>
      </c>
      <c r="GT35">
        <v>0</v>
      </c>
      <c r="GU35" t="s">
        <v>6</v>
      </c>
      <c r="GV35">
        <f t="shared" si="53"/>
        <v>0</v>
      </c>
      <c r="GW35">
        <v>1</v>
      </c>
      <c r="GX35">
        <f t="shared" si="54"/>
        <v>0</v>
      </c>
      <c r="HA35">
        <v>0</v>
      </c>
      <c r="HB35">
        <v>0</v>
      </c>
      <c r="HC35">
        <f t="shared" si="55"/>
        <v>0</v>
      </c>
      <c r="IK35">
        <v>0</v>
      </c>
    </row>
    <row r="36" spans="1:245" x14ac:dyDescent="0.2">
      <c r="A36">
        <v>17</v>
      </c>
      <c r="B36">
        <v>1</v>
      </c>
      <c r="C36">
        <f>ROW(SmtRes!A28)</f>
        <v>28</v>
      </c>
      <c r="D36">
        <f>ROW(EtalonRes!A25)</f>
        <v>25</v>
      </c>
      <c r="E36" t="s">
        <v>87</v>
      </c>
      <c r="F36" t="s">
        <v>88</v>
      </c>
      <c r="G36" t="s">
        <v>89</v>
      </c>
      <c r="H36" t="s">
        <v>90</v>
      </c>
      <c r="I36">
        <v>1</v>
      </c>
      <c r="J36">
        <v>0</v>
      </c>
      <c r="O36">
        <f t="shared" si="21"/>
        <v>22828.05</v>
      </c>
      <c r="P36">
        <f t="shared" si="22"/>
        <v>1505.29</v>
      </c>
      <c r="Q36">
        <f t="shared" si="23"/>
        <v>4327.08</v>
      </c>
      <c r="R36">
        <f t="shared" si="24"/>
        <v>845.61</v>
      </c>
      <c r="S36">
        <f t="shared" si="25"/>
        <v>16995.68</v>
      </c>
      <c r="T36">
        <f t="shared" si="26"/>
        <v>0</v>
      </c>
      <c r="U36">
        <f t="shared" si="27"/>
        <v>60.167999999999992</v>
      </c>
      <c r="V36">
        <f t="shared" si="28"/>
        <v>2.0837999999999997</v>
      </c>
      <c r="W36">
        <f t="shared" si="29"/>
        <v>0</v>
      </c>
      <c r="X36">
        <f t="shared" si="30"/>
        <v>16949.23</v>
      </c>
      <c r="Y36">
        <f t="shared" si="31"/>
        <v>11596.84</v>
      </c>
      <c r="AA36">
        <v>48276314</v>
      </c>
      <c r="AB36">
        <f t="shared" si="32"/>
        <v>1191.68</v>
      </c>
      <c r="AC36">
        <f t="shared" si="33"/>
        <v>125.86</v>
      </c>
      <c r="AD36">
        <f>ROUND((((((ET36*1.2)*1.15))-(((EU36*1.2)*1.15)))+AE36),2)</f>
        <v>500.24</v>
      </c>
      <c r="AE36">
        <f>ROUND((((EU36*1.2)*1.15)),2)</f>
        <v>28.14</v>
      </c>
      <c r="AF36">
        <f>ROUND((((EV36*1.2)*1.15)),2)</f>
        <v>565.58000000000004</v>
      </c>
      <c r="AG36">
        <f t="shared" si="34"/>
        <v>0</v>
      </c>
      <c r="AH36">
        <f>(((EW36*1.2)*1.15))</f>
        <v>60.167999999999992</v>
      </c>
      <c r="AI36">
        <f>(((EX36*1.2)*1.15))</f>
        <v>2.0837999999999997</v>
      </c>
      <c r="AJ36">
        <f t="shared" si="35"/>
        <v>0</v>
      </c>
      <c r="AK36">
        <v>898.19</v>
      </c>
      <c r="AL36">
        <v>125.86</v>
      </c>
      <c r="AM36">
        <v>362.49</v>
      </c>
      <c r="AN36">
        <v>20.39</v>
      </c>
      <c r="AO36">
        <v>409.84</v>
      </c>
      <c r="AP36">
        <v>0</v>
      </c>
      <c r="AQ36">
        <v>43.6</v>
      </c>
      <c r="AR36">
        <v>1.51</v>
      </c>
      <c r="AS36">
        <v>0</v>
      </c>
      <c r="AT36">
        <v>95</v>
      </c>
      <c r="AU36">
        <v>65</v>
      </c>
      <c r="AV36">
        <v>1</v>
      </c>
      <c r="AW36">
        <v>1</v>
      </c>
      <c r="AZ36">
        <v>1</v>
      </c>
      <c r="BA36">
        <v>30.05</v>
      </c>
      <c r="BB36">
        <v>8.65</v>
      </c>
      <c r="BC36">
        <v>11.96</v>
      </c>
      <c r="BD36" t="s">
        <v>6</v>
      </c>
      <c r="BE36" t="s">
        <v>6</v>
      </c>
      <c r="BF36" t="s">
        <v>6</v>
      </c>
      <c r="BG36" t="s">
        <v>6</v>
      </c>
      <c r="BH36">
        <v>0</v>
      </c>
      <c r="BI36">
        <v>2</v>
      </c>
      <c r="BJ36" t="s">
        <v>91</v>
      </c>
      <c r="BM36">
        <v>108001</v>
      </c>
      <c r="BN36">
        <v>0</v>
      </c>
      <c r="BO36" t="s">
        <v>88</v>
      </c>
      <c r="BP36">
        <v>1</v>
      </c>
      <c r="BQ36">
        <v>3</v>
      </c>
      <c r="BR36">
        <v>0</v>
      </c>
      <c r="BS36">
        <v>30.05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6</v>
      </c>
      <c r="BZ36">
        <v>95</v>
      </c>
      <c r="CA36">
        <v>65</v>
      </c>
      <c r="CE36">
        <v>0</v>
      </c>
      <c r="CF36">
        <v>0</v>
      </c>
      <c r="CG36">
        <v>0</v>
      </c>
      <c r="CM36">
        <v>0</v>
      </c>
      <c r="CN36" t="s">
        <v>490</v>
      </c>
      <c r="CO36">
        <v>0</v>
      </c>
      <c r="CP36">
        <f t="shared" si="36"/>
        <v>22828.05</v>
      </c>
      <c r="CQ36">
        <f t="shared" si="37"/>
        <v>1505.2856000000002</v>
      </c>
      <c r="CR36">
        <f t="shared" si="38"/>
        <v>4327.076</v>
      </c>
      <c r="CS36">
        <f t="shared" si="39"/>
        <v>845.60700000000008</v>
      </c>
      <c r="CT36">
        <f t="shared" si="40"/>
        <v>16995.679</v>
      </c>
      <c r="CU36">
        <f t="shared" si="41"/>
        <v>0</v>
      </c>
      <c r="CV36">
        <f t="shared" si="42"/>
        <v>60.167999999999992</v>
      </c>
      <c r="CW36">
        <f t="shared" si="43"/>
        <v>2.0837999999999997</v>
      </c>
      <c r="CX36">
        <f t="shared" si="44"/>
        <v>0</v>
      </c>
      <c r="CY36">
        <f t="shared" si="45"/>
        <v>16949.2255</v>
      </c>
      <c r="CZ36">
        <f t="shared" si="46"/>
        <v>11596.838500000002</v>
      </c>
      <c r="DC36" t="s">
        <v>6</v>
      </c>
      <c r="DD36" t="s">
        <v>6</v>
      </c>
      <c r="DE36" t="s">
        <v>49</v>
      </c>
      <c r="DF36" t="s">
        <v>49</v>
      </c>
      <c r="DG36" t="s">
        <v>49</v>
      </c>
      <c r="DH36" t="s">
        <v>6</v>
      </c>
      <c r="DI36" t="s">
        <v>49</v>
      </c>
      <c r="DJ36" t="s">
        <v>49</v>
      </c>
      <c r="DK36" t="s">
        <v>6</v>
      </c>
      <c r="DL36" t="s">
        <v>6</v>
      </c>
      <c r="DM36" t="s">
        <v>6</v>
      </c>
      <c r="DN36">
        <v>0</v>
      </c>
      <c r="DO36">
        <v>0</v>
      </c>
      <c r="DP36">
        <v>1</v>
      </c>
      <c r="DQ36">
        <v>1</v>
      </c>
      <c r="DU36">
        <v>1003</v>
      </c>
      <c r="DV36" t="s">
        <v>90</v>
      </c>
      <c r="DW36" t="s">
        <v>90</v>
      </c>
      <c r="DX36">
        <v>100</v>
      </c>
      <c r="EE36">
        <v>39495400</v>
      </c>
      <c r="EF36">
        <v>3</v>
      </c>
      <c r="EG36" t="s">
        <v>75</v>
      </c>
      <c r="EH36">
        <v>0</v>
      </c>
      <c r="EI36" t="s">
        <v>6</v>
      </c>
      <c r="EJ36">
        <v>2</v>
      </c>
      <c r="EK36">
        <v>108001</v>
      </c>
      <c r="EL36" t="s">
        <v>92</v>
      </c>
      <c r="EM36" t="s">
        <v>93</v>
      </c>
      <c r="EO36" t="s">
        <v>53</v>
      </c>
      <c r="EQ36">
        <v>0</v>
      </c>
      <c r="ER36">
        <v>898.19</v>
      </c>
      <c r="ES36">
        <v>125.86</v>
      </c>
      <c r="ET36">
        <v>362.49</v>
      </c>
      <c r="EU36">
        <v>20.39</v>
      </c>
      <c r="EV36">
        <v>409.84</v>
      </c>
      <c r="EW36">
        <v>43.6</v>
      </c>
      <c r="EX36">
        <v>1.51</v>
      </c>
      <c r="EY36">
        <v>0</v>
      </c>
      <c r="FQ36">
        <v>0</v>
      </c>
      <c r="FR36">
        <f t="shared" si="47"/>
        <v>0</v>
      </c>
      <c r="FS36">
        <v>0</v>
      </c>
      <c r="FX36">
        <v>95</v>
      </c>
      <c r="FY36">
        <v>65</v>
      </c>
      <c r="GA36" t="s">
        <v>6</v>
      </c>
      <c r="GD36">
        <v>1</v>
      </c>
      <c r="GF36">
        <v>1887751374</v>
      </c>
      <c r="GG36">
        <v>2</v>
      </c>
      <c r="GH36">
        <v>1</v>
      </c>
      <c r="GI36">
        <v>2</v>
      </c>
      <c r="GJ36">
        <v>0</v>
      </c>
      <c r="GK36">
        <v>0</v>
      </c>
      <c r="GL36">
        <f t="shared" si="48"/>
        <v>0</v>
      </c>
      <c r="GM36">
        <f t="shared" si="49"/>
        <v>51374.12</v>
      </c>
      <c r="GN36">
        <f t="shared" si="50"/>
        <v>0</v>
      </c>
      <c r="GO36">
        <f t="shared" si="51"/>
        <v>51374.12</v>
      </c>
      <c r="GP36">
        <f t="shared" si="52"/>
        <v>0</v>
      </c>
      <c r="GR36">
        <v>0</v>
      </c>
      <c r="GS36">
        <v>3</v>
      </c>
      <c r="GT36">
        <v>0</v>
      </c>
      <c r="GU36" t="s">
        <v>6</v>
      </c>
      <c r="GV36">
        <f t="shared" si="53"/>
        <v>0</v>
      </c>
      <c r="GW36">
        <v>1</v>
      </c>
      <c r="GX36">
        <f t="shared" si="54"/>
        <v>0</v>
      </c>
      <c r="HA36">
        <v>0</v>
      </c>
      <c r="HB36">
        <v>0</v>
      </c>
      <c r="HC36">
        <f t="shared" si="55"/>
        <v>0</v>
      </c>
      <c r="IK36">
        <v>0</v>
      </c>
    </row>
    <row r="37" spans="1:245" x14ac:dyDescent="0.2">
      <c r="A37">
        <v>18</v>
      </c>
      <c r="B37">
        <v>1</v>
      </c>
      <c r="C37">
        <v>27</v>
      </c>
      <c r="E37" t="s">
        <v>94</v>
      </c>
      <c r="F37" t="s">
        <v>95</v>
      </c>
      <c r="G37" t="s">
        <v>96</v>
      </c>
      <c r="H37" t="s">
        <v>97</v>
      </c>
      <c r="I37">
        <f>I36*J37</f>
        <v>-0.6</v>
      </c>
      <c r="J37">
        <v>-0.6</v>
      </c>
      <c r="O37">
        <f t="shared" si="21"/>
        <v>-596.32000000000005</v>
      </c>
      <c r="P37">
        <f t="shared" si="22"/>
        <v>-596.32000000000005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-0.11</v>
      </c>
      <c r="X37">
        <f t="shared" si="30"/>
        <v>0</v>
      </c>
      <c r="Y37">
        <f t="shared" si="31"/>
        <v>0</v>
      </c>
      <c r="AA37">
        <v>48276314</v>
      </c>
      <c r="AB37">
        <f t="shared" si="32"/>
        <v>40.9</v>
      </c>
      <c r="AC37">
        <f t="shared" si="33"/>
        <v>40.9</v>
      </c>
      <c r="AD37">
        <f>ROUND((((ET37)-(EU37))+AE37),2)</f>
        <v>0</v>
      </c>
      <c r="AE37">
        <f>ROUND((EU37),2)</f>
        <v>0</v>
      </c>
      <c r="AF37">
        <f>ROUND((EV37),2)</f>
        <v>0</v>
      </c>
      <c r="AG37">
        <f t="shared" si="34"/>
        <v>0</v>
      </c>
      <c r="AH37">
        <f>(EW37)</f>
        <v>0</v>
      </c>
      <c r="AI37">
        <f>(EX37)</f>
        <v>0</v>
      </c>
      <c r="AJ37">
        <f t="shared" si="35"/>
        <v>0.18</v>
      </c>
      <c r="AK37">
        <v>40.9</v>
      </c>
      <c r="AL37">
        <v>40.9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0.18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24.3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2</v>
      </c>
      <c r="BJ37" t="s">
        <v>98</v>
      </c>
      <c r="BM37">
        <v>500002</v>
      </c>
      <c r="BN37">
        <v>0</v>
      </c>
      <c r="BO37" t="s">
        <v>95</v>
      </c>
      <c r="BP37">
        <v>1</v>
      </c>
      <c r="BQ37">
        <v>12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E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6"/>
        <v>-596.32000000000005</v>
      </c>
      <c r="CQ37">
        <f t="shared" si="37"/>
        <v>993.87</v>
      </c>
      <c r="CR37">
        <f t="shared" si="38"/>
        <v>0</v>
      </c>
      <c r="CS37">
        <f t="shared" si="39"/>
        <v>0</v>
      </c>
      <c r="CT37">
        <f t="shared" si="40"/>
        <v>0</v>
      </c>
      <c r="CU37">
        <f t="shared" si="41"/>
        <v>0</v>
      </c>
      <c r="CV37">
        <f t="shared" si="42"/>
        <v>0</v>
      </c>
      <c r="CW37">
        <f t="shared" si="43"/>
        <v>0</v>
      </c>
      <c r="CX37">
        <f t="shared" si="44"/>
        <v>0.18</v>
      </c>
      <c r="CY37">
        <f t="shared" si="45"/>
        <v>0</v>
      </c>
      <c r="CZ37">
        <f t="shared" si="46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97</v>
      </c>
      <c r="DW37" t="s">
        <v>97</v>
      </c>
      <c r="DX37">
        <v>10</v>
      </c>
      <c r="EE37">
        <v>39495451</v>
      </c>
      <c r="EF37">
        <v>12</v>
      </c>
      <c r="EG37" t="s">
        <v>99</v>
      </c>
      <c r="EH37">
        <v>0</v>
      </c>
      <c r="EI37" t="s">
        <v>6</v>
      </c>
      <c r="EJ37">
        <v>2</v>
      </c>
      <c r="EK37">
        <v>500002</v>
      </c>
      <c r="EL37" t="s">
        <v>100</v>
      </c>
      <c r="EM37" t="s">
        <v>101</v>
      </c>
      <c r="EO37" t="s">
        <v>6</v>
      </c>
      <c r="EQ37">
        <v>0</v>
      </c>
      <c r="ER37">
        <v>40.9</v>
      </c>
      <c r="ES37">
        <v>40.9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7"/>
        <v>0</v>
      </c>
      <c r="FS37">
        <v>0</v>
      </c>
      <c r="FX37">
        <v>0</v>
      </c>
      <c r="FY37">
        <v>0</v>
      </c>
      <c r="GA37" t="s">
        <v>6</v>
      </c>
      <c r="GD37">
        <v>1</v>
      </c>
      <c r="GF37">
        <v>-1035860104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48"/>
        <v>0</v>
      </c>
      <c r="GM37">
        <f t="shared" si="49"/>
        <v>-596.32000000000005</v>
      </c>
      <c r="GN37">
        <f t="shared" si="50"/>
        <v>0</v>
      </c>
      <c r="GO37">
        <f t="shared" si="51"/>
        <v>-596.32000000000005</v>
      </c>
      <c r="GP37">
        <f t="shared" si="52"/>
        <v>0</v>
      </c>
      <c r="GR37">
        <v>0</v>
      </c>
      <c r="GS37">
        <v>3</v>
      </c>
      <c r="GT37">
        <v>0</v>
      </c>
      <c r="GU37" t="s">
        <v>6</v>
      </c>
      <c r="GV37">
        <f t="shared" si="53"/>
        <v>0</v>
      </c>
      <c r="GW37">
        <v>1</v>
      </c>
      <c r="GX37">
        <f t="shared" si="54"/>
        <v>0</v>
      </c>
      <c r="HA37">
        <v>0</v>
      </c>
      <c r="HB37">
        <v>0</v>
      </c>
      <c r="HC37">
        <f t="shared" si="55"/>
        <v>0</v>
      </c>
      <c r="IK37">
        <v>0</v>
      </c>
    </row>
    <row r="38" spans="1:245" x14ac:dyDescent="0.2">
      <c r="A38">
        <v>18</v>
      </c>
      <c r="B38">
        <v>1</v>
      </c>
      <c r="C38">
        <v>23</v>
      </c>
      <c r="E38" t="s">
        <v>102</v>
      </c>
      <c r="F38" t="s">
        <v>103</v>
      </c>
      <c r="G38" t="s">
        <v>104</v>
      </c>
      <c r="H38" t="s">
        <v>105</v>
      </c>
      <c r="I38">
        <f>I36*J38</f>
        <v>100</v>
      </c>
      <c r="J38">
        <v>100</v>
      </c>
      <c r="O38">
        <f t="shared" si="21"/>
        <v>61657.68</v>
      </c>
      <c r="P38">
        <f t="shared" si="22"/>
        <v>61657.68</v>
      </c>
      <c r="Q38">
        <f t="shared" si="23"/>
        <v>0</v>
      </c>
      <c r="R38">
        <f t="shared" si="24"/>
        <v>0</v>
      </c>
      <c r="S38">
        <f t="shared" si="25"/>
        <v>0</v>
      </c>
      <c r="T38">
        <f t="shared" si="26"/>
        <v>0</v>
      </c>
      <c r="U38">
        <f t="shared" si="27"/>
        <v>0</v>
      </c>
      <c r="V38">
        <f t="shared" si="28"/>
        <v>0</v>
      </c>
      <c r="W38">
        <f t="shared" si="29"/>
        <v>38</v>
      </c>
      <c r="X38">
        <f t="shared" si="30"/>
        <v>0</v>
      </c>
      <c r="Y38">
        <f t="shared" si="31"/>
        <v>0</v>
      </c>
      <c r="AA38">
        <v>48276314</v>
      </c>
      <c r="AB38">
        <f t="shared" si="32"/>
        <v>82.32</v>
      </c>
      <c r="AC38">
        <f t="shared" si="33"/>
        <v>82.32</v>
      </c>
      <c r="AD38">
        <f>ROUND((((ET38)-(EU38))+AE38),2)</f>
        <v>0</v>
      </c>
      <c r="AE38">
        <f>ROUND((EU38),2)</f>
        <v>0</v>
      </c>
      <c r="AF38">
        <f>ROUND((EV38),2)</f>
        <v>0</v>
      </c>
      <c r="AG38">
        <f t="shared" si="34"/>
        <v>0</v>
      </c>
      <c r="AH38">
        <f>(EW38)</f>
        <v>0</v>
      </c>
      <c r="AI38">
        <f>(EX38)</f>
        <v>0</v>
      </c>
      <c r="AJ38">
        <f t="shared" si="35"/>
        <v>0.38</v>
      </c>
      <c r="AK38">
        <v>82.32</v>
      </c>
      <c r="AL38">
        <v>82.32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0.38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7.49</v>
      </c>
      <c r="BD38" t="s">
        <v>6</v>
      </c>
      <c r="BE38" t="s">
        <v>6</v>
      </c>
      <c r="BF38" t="s">
        <v>6</v>
      </c>
      <c r="BG38" t="s">
        <v>6</v>
      </c>
      <c r="BH38">
        <v>3</v>
      </c>
      <c r="BI38">
        <v>1</v>
      </c>
      <c r="BJ38" t="s">
        <v>106</v>
      </c>
      <c r="BM38">
        <v>500001</v>
      </c>
      <c r="BN38">
        <v>0</v>
      </c>
      <c r="BO38" t="s">
        <v>103</v>
      </c>
      <c r="BP38">
        <v>1</v>
      </c>
      <c r="BQ38">
        <v>8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6</v>
      </c>
      <c r="BZ38">
        <v>0</v>
      </c>
      <c r="CA38">
        <v>0</v>
      </c>
      <c r="CE38">
        <v>0</v>
      </c>
      <c r="CF38">
        <v>0</v>
      </c>
      <c r="CG38">
        <v>0</v>
      </c>
      <c r="CM38">
        <v>0</v>
      </c>
      <c r="CN38" t="s">
        <v>6</v>
      </c>
      <c r="CO38">
        <v>0</v>
      </c>
      <c r="CP38">
        <f t="shared" si="36"/>
        <v>61657.68</v>
      </c>
      <c r="CQ38">
        <f t="shared" si="37"/>
        <v>616.57679999999993</v>
      </c>
      <c r="CR38">
        <f t="shared" si="38"/>
        <v>0</v>
      </c>
      <c r="CS38">
        <f t="shared" si="39"/>
        <v>0</v>
      </c>
      <c r="CT38">
        <f t="shared" si="40"/>
        <v>0</v>
      </c>
      <c r="CU38">
        <f t="shared" si="41"/>
        <v>0</v>
      </c>
      <c r="CV38">
        <f t="shared" si="42"/>
        <v>0</v>
      </c>
      <c r="CW38">
        <f t="shared" si="43"/>
        <v>0</v>
      </c>
      <c r="CX38">
        <f t="shared" si="44"/>
        <v>0.38</v>
      </c>
      <c r="CY38">
        <f t="shared" si="45"/>
        <v>0</v>
      </c>
      <c r="CZ38">
        <f t="shared" si="46"/>
        <v>0</v>
      </c>
      <c r="DC38" t="s">
        <v>6</v>
      </c>
      <c r="DD38" t="s">
        <v>6</v>
      </c>
      <c r="DE38" t="s">
        <v>6</v>
      </c>
      <c r="DF38" t="s">
        <v>6</v>
      </c>
      <c r="DG38" t="s">
        <v>6</v>
      </c>
      <c r="DH38" t="s">
        <v>6</v>
      </c>
      <c r="DI38" t="s">
        <v>6</v>
      </c>
      <c r="DJ38" t="s">
        <v>6</v>
      </c>
      <c r="DK38" t="s">
        <v>6</v>
      </c>
      <c r="DL38" t="s">
        <v>6</v>
      </c>
      <c r="DM38" t="s">
        <v>6</v>
      </c>
      <c r="DN38">
        <v>0</v>
      </c>
      <c r="DO38">
        <v>0</v>
      </c>
      <c r="DP38">
        <v>1</v>
      </c>
      <c r="DQ38">
        <v>1</v>
      </c>
      <c r="DU38">
        <v>1003</v>
      </c>
      <c r="DV38" t="s">
        <v>105</v>
      </c>
      <c r="DW38" t="s">
        <v>105</v>
      </c>
      <c r="DX38">
        <v>1</v>
      </c>
      <c r="EE38">
        <v>39495450</v>
      </c>
      <c r="EF38">
        <v>8</v>
      </c>
      <c r="EG38" t="s">
        <v>107</v>
      </c>
      <c r="EH38">
        <v>0</v>
      </c>
      <c r="EI38" t="s">
        <v>6</v>
      </c>
      <c r="EJ38">
        <v>1</v>
      </c>
      <c r="EK38">
        <v>500001</v>
      </c>
      <c r="EL38" t="s">
        <v>108</v>
      </c>
      <c r="EM38" t="s">
        <v>109</v>
      </c>
      <c r="EO38" t="s">
        <v>6</v>
      </c>
      <c r="EQ38">
        <v>0</v>
      </c>
      <c r="ER38">
        <v>82.32</v>
      </c>
      <c r="ES38">
        <v>82.32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47"/>
        <v>0</v>
      </c>
      <c r="FS38">
        <v>0</v>
      </c>
      <c r="FX38">
        <v>0</v>
      </c>
      <c r="FY38">
        <v>0</v>
      </c>
      <c r="GA38" t="s">
        <v>6</v>
      </c>
      <c r="GD38">
        <v>1</v>
      </c>
      <c r="GF38">
        <v>-394879126</v>
      </c>
      <c r="GG38">
        <v>2</v>
      </c>
      <c r="GH38">
        <v>1</v>
      </c>
      <c r="GI38">
        <v>2</v>
      </c>
      <c r="GJ38">
        <v>0</v>
      </c>
      <c r="GK38">
        <v>0</v>
      </c>
      <c r="GL38">
        <f t="shared" si="48"/>
        <v>0</v>
      </c>
      <c r="GM38">
        <f t="shared" si="49"/>
        <v>61657.68</v>
      </c>
      <c r="GN38">
        <f t="shared" si="50"/>
        <v>61657.68</v>
      </c>
      <c r="GO38">
        <f t="shared" si="51"/>
        <v>0</v>
      </c>
      <c r="GP38">
        <f t="shared" si="52"/>
        <v>0</v>
      </c>
      <c r="GR38">
        <v>0</v>
      </c>
      <c r="GS38">
        <v>3</v>
      </c>
      <c r="GT38">
        <v>0</v>
      </c>
      <c r="GU38" t="s">
        <v>6</v>
      </c>
      <c r="GV38">
        <f t="shared" si="53"/>
        <v>0</v>
      </c>
      <c r="GW38">
        <v>1</v>
      </c>
      <c r="GX38">
        <f t="shared" si="54"/>
        <v>0</v>
      </c>
      <c r="HA38">
        <v>0</v>
      </c>
      <c r="HB38">
        <v>0</v>
      </c>
      <c r="HC38">
        <f t="shared" si="55"/>
        <v>0</v>
      </c>
      <c r="IK38">
        <v>0</v>
      </c>
    </row>
    <row r="39" spans="1:245" x14ac:dyDescent="0.2">
      <c r="A39">
        <v>17</v>
      </c>
      <c r="B39">
        <v>1</v>
      </c>
      <c r="C39">
        <f>ROW(SmtRes!A30)</f>
        <v>30</v>
      </c>
      <c r="D39">
        <f>ROW(EtalonRes!A27)</f>
        <v>27</v>
      </c>
      <c r="E39" t="s">
        <v>110</v>
      </c>
      <c r="F39" t="s">
        <v>111</v>
      </c>
      <c r="G39" t="s">
        <v>112</v>
      </c>
      <c r="H39" t="s">
        <v>113</v>
      </c>
      <c r="I39">
        <v>16</v>
      </c>
      <c r="J39">
        <v>0</v>
      </c>
      <c r="O39">
        <f t="shared" si="21"/>
        <v>454116.26</v>
      </c>
      <c r="P39">
        <f t="shared" si="22"/>
        <v>211778.64</v>
      </c>
      <c r="Q39">
        <f t="shared" si="23"/>
        <v>0</v>
      </c>
      <c r="R39">
        <f t="shared" si="24"/>
        <v>0</v>
      </c>
      <c r="S39">
        <f t="shared" si="25"/>
        <v>242337.62</v>
      </c>
      <c r="T39">
        <f t="shared" si="26"/>
        <v>0</v>
      </c>
      <c r="U39">
        <f t="shared" si="27"/>
        <v>1015.6799999999998</v>
      </c>
      <c r="V39">
        <f t="shared" si="28"/>
        <v>0</v>
      </c>
      <c r="W39">
        <f t="shared" si="29"/>
        <v>0</v>
      </c>
      <c r="X39">
        <f t="shared" si="30"/>
        <v>278688.26</v>
      </c>
      <c r="Y39">
        <f t="shared" si="31"/>
        <v>186599.97</v>
      </c>
      <c r="AA39">
        <v>48276314</v>
      </c>
      <c r="AB39">
        <f t="shared" si="32"/>
        <v>2482.5300000000002</v>
      </c>
      <c r="AC39">
        <f t="shared" si="33"/>
        <v>1978.5</v>
      </c>
      <c r="AD39">
        <f>ROUND(((((((ET39*1.2)*1.15)*1.25))-((((EU39*1.2)*1.15)*1.25)))+AE39),2)</f>
        <v>0</v>
      </c>
      <c r="AE39">
        <f>ROUND(((((EU39*1.2)*1.15)*1.25)),2)</f>
        <v>0</v>
      </c>
      <c r="AF39">
        <f>ROUND(((((EV39*1.2)*1.15)*1.15)),2)</f>
        <v>504.03</v>
      </c>
      <c r="AG39">
        <f t="shared" si="34"/>
        <v>0</v>
      </c>
      <c r="AH39">
        <f>((((EW39*1.2)*1.15)*1.15))</f>
        <v>63.47999999999999</v>
      </c>
      <c r="AI39">
        <f>((((EX39*1.2)*1.15)*1.25))</f>
        <v>0</v>
      </c>
      <c r="AJ39">
        <f t="shared" si="35"/>
        <v>0</v>
      </c>
      <c r="AK39">
        <v>2296.1</v>
      </c>
      <c r="AL39">
        <v>1978.5</v>
      </c>
      <c r="AM39">
        <v>0</v>
      </c>
      <c r="AN39">
        <v>0</v>
      </c>
      <c r="AO39">
        <v>317.60000000000002</v>
      </c>
      <c r="AP39">
        <v>0</v>
      </c>
      <c r="AQ39">
        <v>40</v>
      </c>
      <c r="AR39">
        <v>0</v>
      </c>
      <c r="AS39">
        <v>0</v>
      </c>
      <c r="AT39">
        <v>115</v>
      </c>
      <c r="AU39">
        <v>77</v>
      </c>
      <c r="AV39">
        <v>1</v>
      </c>
      <c r="AW39">
        <v>1</v>
      </c>
      <c r="AZ39">
        <v>1</v>
      </c>
      <c r="BA39">
        <v>30.05</v>
      </c>
      <c r="BB39">
        <v>1</v>
      </c>
      <c r="BC39">
        <v>6.69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1</v>
      </c>
      <c r="BJ39" t="s">
        <v>114</v>
      </c>
      <c r="BM39">
        <v>47001</v>
      </c>
      <c r="BN39">
        <v>0</v>
      </c>
      <c r="BO39" t="s">
        <v>111</v>
      </c>
      <c r="BP39">
        <v>1</v>
      </c>
      <c r="BQ39">
        <v>2</v>
      </c>
      <c r="BR39">
        <v>0</v>
      </c>
      <c r="BS39">
        <v>30.05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115</v>
      </c>
      <c r="CA39">
        <v>90</v>
      </c>
      <c r="CE39">
        <v>0</v>
      </c>
      <c r="CF39">
        <v>0</v>
      </c>
      <c r="CG39">
        <v>0</v>
      </c>
      <c r="CM39">
        <v>0</v>
      </c>
      <c r="CN39" t="s">
        <v>491</v>
      </c>
      <c r="CO39">
        <v>0</v>
      </c>
      <c r="CP39">
        <f t="shared" si="36"/>
        <v>454116.26</v>
      </c>
      <c r="CQ39">
        <f t="shared" si="37"/>
        <v>13236.165000000001</v>
      </c>
      <c r="CR39">
        <f t="shared" si="38"/>
        <v>0</v>
      </c>
      <c r="CS39">
        <f t="shared" si="39"/>
        <v>0</v>
      </c>
      <c r="CT39">
        <f t="shared" si="40"/>
        <v>15146.101499999999</v>
      </c>
      <c r="CU39">
        <f t="shared" si="41"/>
        <v>0</v>
      </c>
      <c r="CV39">
        <f t="shared" si="42"/>
        <v>63.47999999999999</v>
      </c>
      <c r="CW39">
        <f t="shared" si="43"/>
        <v>0</v>
      </c>
      <c r="CX39">
        <f t="shared" si="44"/>
        <v>0</v>
      </c>
      <c r="CY39">
        <f t="shared" si="45"/>
        <v>278688.26300000004</v>
      </c>
      <c r="CZ39">
        <f t="shared" si="46"/>
        <v>186599.96739999999</v>
      </c>
      <c r="DC39" t="s">
        <v>6</v>
      </c>
      <c r="DD39" t="s">
        <v>6</v>
      </c>
      <c r="DE39" t="s">
        <v>66</v>
      </c>
      <c r="DF39" t="s">
        <v>66</v>
      </c>
      <c r="DG39" t="s">
        <v>34</v>
      </c>
      <c r="DH39" t="s">
        <v>6</v>
      </c>
      <c r="DI39" t="s">
        <v>34</v>
      </c>
      <c r="DJ39" t="s">
        <v>66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113</v>
      </c>
      <c r="DW39" t="s">
        <v>113</v>
      </c>
      <c r="DX39">
        <v>100</v>
      </c>
      <c r="EE39">
        <v>39495586</v>
      </c>
      <c r="EF39">
        <v>2</v>
      </c>
      <c r="EG39" t="s">
        <v>35</v>
      </c>
      <c r="EH39">
        <v>0</v>
      </c>
      <c r="EI39" t="s">
        <v>6</v>
      </c>
      <c r="EJ39">
        <v>1</v>
      </c>
      <c r="EK39">
        <v>47001</v>
      </c>
      <c r="EL39" t="s">
        <v>115</v>
      </c>
      <c r="EM39" t="s">
        <v>116</v>
      </c>
      <c r="EO39" t="s">
        <v>69</v>
      </c>
      <c r="EQ39">
        <v>131072</v>
      </c>
      <c r="ER39">
        <v>2296.1</v>
      </c>
      <c r="ES39">
        <v>1978.5</v>
      </c>
      <c r="ET39">
        <v>0</v>
      </c>
      <c r="EU39">
        <v>0</v>
      </c>
      <c r="EV39">
        <v>317.60000000000002</v>
      </c>
      <c r="EW39">
        <v>40</v>
      </c>
      <c r="EX39">
        <v>0</v>
      </c>
      <c r="EY39">
        <v>0</v>
      </c>
      <c r="FQ39">
        <v>0</v>
      </c>
      <c r="FR39">
        <f t="shared" si="47"/>
        <v>0</v>
      </c>
      <c r="FS39">
        <v>0</v>
      </c>
      <c r="FU39" t="s">
        <v>39</v>
      </c>
      <c r="FX39">
        <v>115</v>
      </c>
      <c r="FY39">
        <v>76.5</v>
      </c>
      <c r="GA39" t="s">
        <v>6</v>
      </c>
      <c r="GD39">
        <v>1</v>
      </c>
      <c r="GF39">
        <v>-777845027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48"/>
        <v>0</v>
      </c>
      <c r="GM39">
        <f t="shared" si="49"/>
        <v>919404.49</v>
      </c>
      <c r="GN39">
        <f t="shared" si="50"/>
        <v>919404.49</v>
      </c>
      <c r="GO39">
        <f t="shared" si="51"/>
        <v>0</v>
      </c>
      <c r="GP39">
        <f t="shared" si="52"/>
        <v>0</v>
      </c>
      <c r="GR39">
        <v>0</v>
      </c>
      <c r="GS39">
        <v>3</v>
      </c>
      <c r="GT39">
        <v>0</v>
      </c>
      <c r="GU39" t="s">
        <v>6</v>
      </c>
      <c r="GV39">
        <f t="shared" si="53"/>
        <v>0</v>
      </c>
      <c r="GW39">
        <v>1</v>
      </c>
      <c r="GX39">
        <f t="shared" si="54"/>
        <v>0</v>
      </c>
      <c r="HA39">
        <v>0</v>
      </c>
      <c r="HB39">
        <v>0</v>
      </c>
      <c r="HC39">
        <f t="shared" si="55"/>
        <v>0</v>
      </c>
      <c r="IK39">
        <v>0</v>
      </c>
    </row>
    <row r="40" spans="1:245" x14ac:dyDescent="0.2">
      <c r="A40">
        <v>17</v>
      </c>
      <c r="B40">
        <v>1</v>
      </c>
      <c r="C40">
        <f>ROW(SmtRes!A32)</f>
        <v>32</v>
      </c>
      <c r="D40">
        <f>ROW(EtalonRes!A29)</f>
        <v>29</v>
      </c>
      <c r="E40" t="s">
        <v>117</v>
      </c>
      <c r="F40" t="s">
        <v>118</v>
      </c>
      <c r="G40" t="s">
        <v>119</v>
      </c>
      <c r="H40" t="s">
        <v>113</v>
      </c>
      <c r="I40">
        <f>ROUND(-I39,9)</f>
        <v>-16</v>
      </c>
      <c r="J40">
        <v>0</v>
      </c>
      <c r="O40">
        <f t="shared" si="21"/>
        <v>-103729.62</v>
      </c>
      <c r="P40">
        <f t="shared" si="22"/>
        <v>-70592.88</v>
      </c>
      <c r="Q40">
        <f t="shared" si="23"/>
        <v>0</v>
      </c>
      <c r="R40">
        <f t="shared" si="24"/>
        <v>0</v>
      </c>
      <c r="S40">
        <f t="shared" si="25"/>
        <v>-33136.74</v>
      </c>
      <c r="T40">
        <f t="shared" si="26"/>
        <v>0</v>
      </c>
      <c r="U40">
        <f t="shared" si="27"/>
        <v>-138.89423999999997</v>
      </c>
      <c r="V40">
        <f t="shared" si="28"/>
        <v>0</v>
      </c>
      <c r="W40">
        <f t="shared" si="29"/>
        <v>0</v>
      </c>
      <c r="X40">
        <f t="shared" si="30"/>
        <v>-38107.25</v>
      </c>
      <c r="Y40">
        <f t="shared" si="31"/>
        <v>-25515.29</v>
      </c>
      <c r="AA40">
        <v>48276314</v>
      </c>
      <c r="AB40">
        <f t="shared" si="32"/>
        <v>728.42</v>
      </c>
      <c r="AC40">
        <f t="shared" si="33"/>
        <v>659.5</v>
      </c>
      <c r="AD40">
        <f>ROUND(((((((ET40*1.2)*1.15)*1.25))-((((EU40*1.2)*1.15)*1.25)))+AE40),2)</f>
        <v>0</v>
      </c>
      <c r="AE40">
        <f>ROUND(((((EU40*1.2)*1.15)*1.25)),2)</f>
        <v>0</v>
      </c>
      <c r="AF40">
        <f>ROUND(((((EV40*1.2)*1.15)*1.15)),2)</f>
        <v>68.92</v>
      </c>
      <c r="AG40">
        <f t="shared" si="34"/>
        <v>0</v>
      </c>
      <c r="AH40">
        <f>((((EW40*1.2)*1.15)*1.15))</f>
        <v>8.680889999999998</v>
      </c>
      <c r="AI40">
        <f>((((EX40*1.2)*1.15)*1.25))</f>
        <v>0</v>
      </c>
      <c r="AJ40">
        <f t="shared" si="35"/>
        <v>0</v>
      </c>
      <c r="AK40">
        <v>702.93</v>
      </c>
      <c r="AL40">
        <v>659.5</v>
      </c>
      <c r="AM40">
        <v>0</v>
      </c>
      <c r="AN40">
        <v>0</v>
      </c>
      <c r="AO40">
        <v>43.43</v>
      </c>
      <c r="AP40">
        <v>0</v>
      </c>
      <c r="AQ40">
        <v>5.47</v>
      </c>
      <c r="AR40">
        <v>0</v>
      </c>
      <c r="AS40">
        <v>0</v>
      </c>
      <c r="AT40">
        <v>115</v>
      </c>
      <c r="AU40">
        <v>77</v>
      </c>
      <c r="AV40">
        <v>1</v>
      </c>
      <c r="AW40">
        <v>1</v>
      </c>
      <c r="AZ40">
        <v>1</v>
      </c>
      <c r="BA40">
        <v>30.05</v>
      </c>
      <c r="BB40">
        <v>1</v>
      </c>
      <c r="BC40">
        <v>6.69</v>
      </c>
      <c r="BD40" t="s">
        <v>6</v>
      </c>
      <c r="BE40" t="s">
        <v>6</v>
      </c>
      <c r="BF40" t="s">
        <v>6</v>
      </c>
      <c r="BG40" t="s">
        <v>6</v>
      </c>
      <c r="BH40">
        <v>0</v>
      </c>
      <c r="BI40">
        <v>1</v>
      </c>
      <c r="BJ40" t="s">
        <v>120</v>
      </c>
      <c r="BM40">
        <v>47001</v>
      </c>
      <c r="BN40">
        <v>0</v>
      </c>
      <c r="BO40" t="s">
        <v>118</v>
      </c>
      <c r="BP40">
        <v>1</v>
      </c>
      <c r="BQ40">
        <v>2</v>
      </c>
      <c r="BR40">
        <v>0</v>
      </c>
      <c r="BS40">
        <v>30.05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6</v>
      </c>
      <c r="BZ40">
        <v>115</v>
      </c>
      <c r="CA40">
        <v>90</v>
      </c>
      <c r="CE40">
        <v>0</v>
      </c>
      <c r="CF40">
        <v>0</v>
      </c>
      <c r="CG40">
        <v>0</v>
      </c>
      <c r="CM40">
        <v>0</v>
      </c>
      <c r="CN40" t="s">
        <v>491</v>
      </c>
      <c r="CO40">
        <v>0</v>
      </c>
      <c r="CP40">
        <f t="shared" si="36"/>
        <v>-103729.62</v>
      </c>
      <c r="CQ40">
        <f t="shared" si="37"/>
        <v>4412.0550000000003</v>
      </c>
      <c r="CR40">
        <f t="shared" si="38"/>
        <v>0</v>
      </c>
      <c r="CS40">
        <f t="shared" si="39"/>
        <v>0</v>
      </c>
      <c r="CT40">
        <f t="shared" si="40"/>
        <v>2071.0460000000003</v>
      </c>
      <c r="CU40">
        <f t="shared" si="41"/>
        <v>0</v>
      </c>
      <c r="CV40">
        <f t="shared" si="42"/>
        <v>8.680889999999998</v>
      </c>
      <c r="CW40">
        <f t="shared" si="43"/>
        <v>0</v>
      </c>
      <c r="CX40">
        <f t="shared" si="44"/>
        <v>0</v>
      </c>
      <c r="CY40">
        <f t="shared" si="45"/>
        <v>-38107.250999999997</v>
      </c>
      <c r="CZ40">
        <f t="shared" si="46"/>
        <v>-25515.289799999999</v>
      </c>
      <c r="DC40" t="s">
        <v>6</v>
      </c>
      <c r="DD40" t="s">
        <v>6</v>
      </c>
      <c r="DE40" t="s">
        <v>66</v>
      </c>
      <c r="DF40" t="s">
        <v>66</v>
      </c>
      <c r="DG40" t="s">
        <v>34</v>
      </c>
      <c r="DH40" t="s">
        <v>6</v>
      </c>
      <c r="DI40" t="s">
        <v>34</v>
      </c>
      <c r="DJ40" t="s">
        <v>66</v>
      </c>
      <c r="DK40" t="s">
        <v>6</v>
      </c>
      <c r="DL40" t="s">
        <v>6</v>
      </c>
      <c r="DM40" t="s">
        <v>6</v>
      </c>
      <c r="DN40">
        <v>0</v>
      </c>
      <c r="DO40">
        <v>0</v>
      </c>
      <c r="DP40">
        <v>1</v>
      </c>
      <c r="DQ40">
        <v>1</v>
      </c>
      <c r="DU40">
        <v>1005</v>
      </c>
      <c r="DV40" t="s">
        <v>113</v>
      </c>
      <c r="DW40" t="s">
        <v>113</v>
      </c>
      <c r="DX40">
        <v>100</v>
      </c>
      <c r="EE40">
        <v>39495586</v>
      </c>
      <c r="EF40">
        <v>2</v>
      </c>
      <c r="EG40" t="s">
        <v>35</v>
      </c>
      <c r="EH40">
        <v>0</v>
      </c>
      <c r="EI40" t="s">
        <v>6</v>
      </c>
      <c r="EJ40">
        <v>1</v>
      </c>
      <c r="EK40">
        <v>47001</v>
      </c>
      <c r="EL40" t="s">
        <v>115</v>
      </c>
      <c r="EM40" t="s">
        <v>116</v>
      </c>
      <c r="EO40" t="s">
        <v>69</v>
      </c>
      <c r="EQ40">
        <v>0</v>
      </c>
      <c r="ER40">
        <v>702.93</v>
      </c>
      <c r="ES40">
        <v>659.5</v>
      </c>
      <c r="ET40">
        <v>0</v>
      </c>
      <c r="EU40">
        <v>0</v>
      </c>
      <c r="EV40">
        <v>43.43</v>
      </c>
      <c r="EW40">
        <v>5.47</v>
      </c>
      <c r="EX40">
        <v>0</v>
      </c>
      <c r="EY40">
        <v>0</v>
      </c>
      <c r="FQ40">
        <v>0</v>
      </c>
      <c r="FR40">
        <f t="shared" si="47"/>
        <v>0</v>
      </c>
      <c r="FS40">
        <v>0</v>
      </c>
      <c r="FU40" t="s">
        <v>39</v>
      </c>
      <c r="FX40">
        <v>115</v>
      </c>
      <c r="FY40">
        <v>76.5</v>
      </c>
      <c r="GA40" t="s">
        <v>6</v>
      </c>
      <c r="GD40">
        <v>1</v>
      </c>
      <c r="GF40">
        <v>-1955270005</v>
      </c>
      <c r="GG40">
        <v>2</v>
      </c>
      <c r="GH40">
        <v>1</v>
      </c>
      <c r="GI40">
        <v>2</v>
      </c>
      <c r="GJ40">
        <v>0</v>
      </c>
      <c r="GK40">
        <v>0</v>
      </c>
      <c r="GL40">
        <f t="shared" si="48"/>
        <v>0</v>
      </c>
      <c r="GM40">
        <f t="shared" si="49"/>
        <v>-167352.16</v>
      </c>
      <c r="GN40">
        <f t="shared" si="50"/>
        <v>-167352.16</v>
      </c>
      <c r="GO40">
        <f t="shared" si="51"/>
        <v>0</v>
      </c>
      <c r="GP40">
        <f t="shared" si="52"/>
        <v>0</v>
      </c>
      <c r="GR40">
        <v>0</v>
      </c>
      <c r="GS40">
        <v>3</v>
      </c>
      <c r="GT40">
        <v>0</v>
      </c>
      <c r="GU40" t="s">
        <v>6</v>
      </c>
      <c r="GV40">
        <f t="shared" si="53"/>
        <v>0</v>
      </c>
      <c r="GW40">
        <v>1</v>
      </c>
      <c r="GX40">
        <f t="shared" si="54"/>
        <v>0</v>
      </c>
      <c r="HA40">
        <v>0</v>
      </c>
      <c r="HB40">
        <v>0</v>
      </c>
      <c r="HC40">
        <f t="shared" si="55"/>
        <v>0</v>
      </c>
      <c r="IK40">
        <v>0</v>
      </c>
    </row>
    <row r="41" spans="1:245" x14ac:dyDescent="0.2">
      <c r="A41">
        <v>17</v>
      </c>
      <c r="B41">
        <v>1</v>
      </c>
      <c r="C41">
        <f>ROW(SmtRes!A37)</f>
        <v>37</v>
      </c>
      <c r="D41">
        <f>ROW(EtalonRes!A34)</f>
        <v>34</v>
      </c>
      <c r="E41" t="s">
        <v>121</v>
      </c>
      <c r="F41" t="s">
        <v>122</v>
      </c>
      <c r="G41" t="s">
        <v>123</v>
      </c>
      <c r="H41" t="s">
        <v>113</v>
      </c>
      <c r="I41">
        <f>ROUND((I39),9)</f>
        <v>16</v>
      </c>
      <c r="J41">
        <v>0</v>
      </c>
      <c r="O41">
        <f t="shared" si="21"/>
        <v>107791.65</v>
      </c>
      <c r="P41">
        <f t="shared" si="22"/>
        <v>3404.29</v>
      </c>
      <c r="Q41">
        <f t="shared" si="23"/>
        <v>65716.62</v>
      </c>
      <c r="R41">
        <f t="shared" si="24"/>
        <v>26357.46</v>
      </c>
      <c r="S41">
        <f t="shared" si="25"/>
        <v>38670.74</v>
      </c>
      <c r="T41">
        <f t="shared" si="26"/>
        <v>0</v>
      </c>
      <c r="U41">
        <f t="shared" si="27"/>
        <v>152.09807999999998</v>
      </c>
      <c r="V41">
        <f t="shared" si="28"/>
        <v>75.623999999999995</v>
      </c>
      <c r="W41">
        <f t="shared" si="29"/>
        <v>0</v>
      </c>
      <c r="X41">
        <f t="shared" si="30"/>
        <v>74782.429999999993</v>
      </c>
      <c r="Y41">
        <f t="shared" si="31"/>
        <v>50071.71</v>
      </c>
      <c r="AA41">
        <v>48276314</v>
      </c>
      <c r="AB41">
        <f t="shared" si="32"/>
        <v>624.74</v>
      </c>
      <c r="AC41">
        <f t="shared" si="33"/>
        <v>24.4</v>
      </c>
      <c r="AD41">
        <f>ROUND(((((((ET41*1.2)*1.25)*1.15))-((((EU41*1.2)*1.25)*1.15)))+AE41),2)</f>
        <v>519.91</v>
      </c>
      <c r="AE41">
        <f>ROUND(((((EU41*1.2)*1.25)*1.15)),2)</f>
        <v>54.82</v>
      </c>
      <c r="AF41">
        <f>ROUND(((((EV41*1.2)*1.15)*1.15)),2)</f>
        <v>80.430000000000007</v>
      </c>
      <c r="AG41">
        <f t="shared" si="34"/>
        <v>0</v>
      </c>
      <c r="AH41">
        <f>((((EW41*1.2)*1.15)*1.15))</f>
        <v>9.5061299999999989</v>
      </c>
      <c r="AI41">
        <f>((((EX41*1.2)*1.25)*1.15))</f>
        <v>4.7264999999999997</v>
      </c>
      <c r="AJ41">
        <f t="shared" si="35"/>
        <v>0</v>
      </c>
      <c r="AK41">
        <v>376.48</v>
      </c>
      <c r="AL41">
        <v>24.4</v>
      </c>
      <c r="AM41">
        <v>301.39999999999998</v>
      </c>
      <c r="AN41">
        <v>31.78</v>
      </c>
      <c r="AO41">
        <v>50.68</v>
      </c>
      <c r="AP41">
        <v>0</v>
      </c>
      <c r="AQ41">
        <v>5.99</v>
      </c>
      <c r="AR41">
        <v>2.74</v>
      </c>
      <c r="AS41">
        <v>0</v>
      </c>
      <c r="AT41">
        <v>115</v>
      </c>
      <c r="AU41">
        <v>77</v>
      </c>
      <c r="AV41">
        <v>1</v>
      </c>
      <c r="AW41">
        <v>1</v>
      </c>
      <c r="AZ41">
        <v>1</v>
      </c>
      <c r="BA41">
        <v>30.05</v>
      </c>
      <c r="BB41">
        <v>7.9</v>
      </c>
      <c r="BC41">
        <v>8.7200000000000006</v>
      </c>
      <c r="BD41" t="s">
        <v>6</v>
      </c>
      <c r="BE41" t="s">
        <v>6</v>
      </c>
      <c r="BF41" t="s">
        <v>6</v>
      </c>
      <c r="BG41" t="s">
        <v>6</v>
      </c>
      <c r="BH41">
        <v>0</v>
      </c>
      <c r="BI41">
        <v>1</v>
      </c>
      <c r="BJ41" t="s">
        <v>124</v>
      </c>
      <c r="BM41">
        <v>47001</v>
      </c>
      <c r="BN41">
        <v>0</v>
      </c>
      <c r="BO41" t="s">
        <v>122</v>
      </c>
      <c r="BP41">
        <v>1</v>
      </c>
      <c r="BQ41">
        <v>2</v>
      </c>
      <c r="BR41">
        <v>0</v>
      </c>
      <c r="BS41">
        <v>30.05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115</v>
      </c>
      <c r="CA41">
        <v>90</v>
      </c>
      <c r="CE41">
        <v>0</v>
      </c>
      <c r="CF41">
        <v>0</v>
      </c>
      <c r="CG41">
        <v>0</v>
      </c>
      <c r="CM41">
        <v>0</v>
      </c>
      <c r="CN41" t="s">
        <v>489</v>
      </c>
      <c r="CO41">
        <v>0</v>
      </c>
      <c r="CP41">
        <f t="shared" si="36"/>
        <v>107791.65</v>
      </c>
      <c r="CQ41">
        <f t="shared" si="37"/>
        <v>212.768</v>
      </c>
      <c r="CR41">
        <f t="shared" si="38"/>
        <v>4107.2889999999998</v>
      </c>
      <c r="CS41">
        <f t="shared" si="39"/>
        <v>1647.3410000000001</v>
      </c>
      <c r="CT41">
        <f t="shared" si="40"/>
        <v>2416.9215000000004</v>
      </c>
      <c r="CU41">
        <f t="shared" si="41"/>
        <v>0</v>
      </c>
      <c r="CV41">
        <f t="shared" si="42"/>
        <v>9.5061299999999989</v>
      </c>
      <c r="CW41">
        <f t="shared" si="43"/>
        <v>4.7264999999999997</v>
      </c>
      <c r="CX41">
        <f t="shared" si="44"/>
        <v>0</v>
      </c>
      <c r="CY41">
        <f t="shared" si="45"/>
        <v>74782.429999999993</v>
      </c>
      <c r="CZ41">
        <f t="shared" si="46"/>
        <v>50071.713999999993</v>
      </c>
      <c r="DC41" t="s">
        <v>6</v>
      </c>
      <c r="DD41" t="s">
        <v>6</v>
      </c>
      <c r="DE41" t="s">
        <v>33</v>
      </c>
      <c r="DF41" t="s">
        <v>33</v>
      </c>
      <c r="DG41" t="s">
        <v>34</v>
      </c>
      <c r="DH41" t="s">
        <v>6</v>
      </c>
      <c r="DI41" t="s">
        <v>34</v>
      </c>
      <c r="DJ41" t="s">
        <v>33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113</v>
      </c>
      <c r="DW41" t="s">
        <v>113</v>
      </c>
      <c r="DX41">
        <v>100</v>
      </c>
      <c r="EE41">
        <v>39495586</v>
      </c>
      <c r="EF41">
        <v>2</v>
      </c>
      <c r="EG41" t="s">
        <v>35</v>
      </c>
      <c r="EH41">
        <v>0</v>
      </c>
      <c r="EI41" t="s">
        <v>6</v>
      </c>
      <c r="EJ41">
        <v>1</v>
      </c>
      <c r="EK41">
        <v>47001</v>
      </c>
      <c r="EL41" t="s">
        <v>115</v>
      </c>
      <c r="EM41" t="s">
        <v>116</v>
      </c>
      <c r="EO41" t="s">
        <v>38</v>
      </c>
      <c r="EQ41">
        <v>131072</v>
      </c>
      <c r="ER41">
        <v>376.48</v>
      </c>
      <c r="ES41">
        <v>24.4</v>
      </c>
      <c r="ET41">
        <v>301.39999999999998</v>
      </c>
      <c r="EU41">
        <v>31.78</v>
      </c>
      <c r="EV41">
        <v>50.68</v>
      </c>
      <c r="EW41">
        <v>5.99</v>
      </c>
      <c r="EX41">
        <v>2.74</v>
      </c>
      <c r="EY41">
        <v>0</v>
      </c>
      <c r="FQ41">
        <v>0</v>
      </c>
      <c r="FR41">
        <f t="shared" si="47"/>
        <v>0</v>
      </c>
      <c r="FS41">
        <v>0</v>
      </c>
      <c r="FU41" t="s">
        <v>39</v>
      </c>
      <c r="FX41">
        <v>115</v>
      </c>
      <c r="FY41">
        <v>76.5</v>
      </c>
      <c r="GA41" t="s">
        <v>6</v>
      </c>
      <c r="GD41">
        <v>1</v>
      </c>
      <c r="GF41">
        <v>1575971649</v>
      </c>
      <c r="GG41">
        <v>2</v>
      </c>
      <c r="GH41">
        <v>1</v>
      </c>
      <c r="GI41">
        <v>2</v>
      </c>
      <c r="GJ41">
        <v>0</v>
      </c>
      <c r="GK41">
        <v>0</v>
      </c>
      <c r="GL41">
        <f t="shared" si="48"/>
        <v>0</v>
      </c>
      <c r="GM41">
        <f t="shared" si="49"/>
        <v>232645.79</v>
      </c>
      <c r="GN41">
        <f t="shared" si="50"/>
        <v>232645.79</v>
      </c>
      <c r="GO41">
        <f t="shared" si="51"/>
        <v>0</v>
      </c>
      <c r="GP41">
        <f t="shared" si="52"/>
        <v>0</v>
      </c>
      <c r="GR41">
        <v>0</v>
      </c>
      <c r="GS41">
        <v>3</v>
      </c>
      <c r="GT41">
        <v>0</v>
      </c>
      <c r="GU41" t="s">
        <v>6</v>
      </c>
      <c r="GV41">
        <f t="shared" si="53"/>
        <v>0</v>
      </c>
      <c r="GW41">
        <v>1</v>
      </c>
      <c r="GX41">
        <f t="shared" si="54"/>
        <v>0</v>
      </c>
      <c r="HA41">
        <v>0</v>
      </c>
      <c r="HB41">
        <v>0</v>
      </c>
      <c r="HC41">
        <f t="shared" si="55"/>
        <v>0</v>
      </c>
      <c r="IK41">
        <v>0</v>
      </c>
    </row>
    <row r="42" spans="1:245" x14ac:dyDescent="0.2">
      <c r="A42">
        <v>18</v>
      </c>
      <c r="B42">
        <v>1</v>
      </c>
      <c r="C42">
        <v>37</v>
      </c>
      <c r="E42" t="s">
        <v>125</v>
      </c>
      <c r="F42" t="s">
        <v>126</v>
      </c>
      <c r="G42" t="s">
        <v>127</v>
      </c>
      <c r="H42" t="s">
        <v>128</v>
      </c>
      <c r="I42">
        <f>I41*J42</f>
        <v>32</v>
      </c>
      <c r="J42">
        <v>2</v>
      </c>
      <c r="O42">
        <f t="shared" si="21"/>
        <v>4216.0600000000004</v>
      </c>
      <c r="P42">
        <f t="shared" si="22"/>
        <v>4216.0600000000004</v>
      </c>
      <c r="Q42">
        <f t="shared" si="23"/>
        <v>0</v>
      </c>
      <c r="R42">
        <f t="shared" si="24"/>
        <v>0</v>
      </c>
      <c r="S42">
        <f t="shared" si="25"/>
        <v>0</v>
      </c>
      <c r="T42">
        <f t="shared" si="26"/>
        <v>0</v>
      </c>
      <c r="U42">
        <f t="shared" si="27"/>
        <v>0</v>
      </c>
      <c r="V42">
        <f t="shared" si="28"/>
        <v>0</v>
      </c>
      <c r="W42">
        <f t="shared" si="29"/>
        <v>1.28</v>
      </c>
      <c r="X42">
        <f t="shared" si="30"/>
        <v>0</v>
      </c>
      <c r="Y42">
        <f t="shared" si="31"/>
        <v>0</v>
      </c>
      <c r="AA42">
        <v>48276314</v>
      </c>
      <c r="AB42">
        <f t="shared" si="32"/>
        <v>153.19999999999999</v>
      </c>
      <c r="AC42">
        <f t="shared" si="33"/>
        <v>153.19999999999999</v>
      </c>
      <c r="AD42">
        <f>ROUND((((ET42)-(EU42))+AE42),2)</f>
        <v>0</v>
      </c>
      <c r="AE42">
        <f>ROUND((EU42),2)</f>
        <v>0</v>
      </c>
      <c r="AF42">
        <f>ROUND((EV42),2)</f>
        <v>0</v>
      </c>
      <c r="AG42">
        <f t="shared" si="34"/>
        <v>0</v>
      </c>
      <c r="AH42">
        <f>(EW42)</f>
        <v>0</v>
      </c>
      <c r="AI42">
        <f>(EX42)</f>
        <v>0</v>
      </c>
      <c r="AJ42">
        <f t="shared" si="35"/>
        <v>0.04</v>
      </c>
      <c r="AK42">
        <v>153.19999999999999</v>
      </c>
      <c r="AL42">
        <v>153.19999999999999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0.04</v>
      </c>
      <c r="AT42">
        <v>115</v>
      </c>
      <c r="AU42">
        <v>77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0.86</v>
      </c>
      <c r="BD42" t="s">
        <v>6</v>
      </c>
      <c r="BE42" t="s">
        <v>6</v>
      </c>
      <c r="BF42" t="s">
        <v>6</v>
      </c>
      <c r="BG42" t="s">
        <v>6</v>
      </c>
      <c r="BH42">
        <v>3</v>
      </c>
      <c r="BI42">
        <v>1</v>
      </c>
      <c r="BJ42" t="s">
        <v>129</v>
      </c>
      <c r="BM42">
        <v>47001</v>
      </c>
      <c r="BN42">
        <v>0</v>
      </c>
      <c r="BO42" t="s">
        <v>126</v>
      </c>
      <c r="BP42">
        <v>1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6</v>
      </c>
      <c r="BZ42">
        <v>115</v>
      </c>
      <c r="CA42">
        <v>90</v>
      </c>
      <c r="CE42">
        <v>0</v>
      </c>
      <c r="CF42">
        <v>0</v>
      </c>
      <c r="CG42">
        <v>0</v>
      </c>
      <c r="CM42">
        <v>0</v>
      </c>
      <c r="CN42" t="s">
        <v>6</v>
      </c>
      <c r="CO42">
        <v>0</v>
      </c>
      <c r="CP42">
        <f t="shared" si="36"/>
        <v>4216.0600000000004</v>
      </c>
      <c r="CQ42">
        <f t="shared" si="37"/>
        <v>131.75199999999998</v>
      </c>
      <c r="CR42">
        <f t="shared" si="38"/>
        <v>0</v>
      </c>
      <c r="CS42">
        <f t="shared" si="39"/>
        <v>0</v>
      </c>
      <c r="CT42">
        <f t="shared" si="40"/>
        <v>0</v>
      </c>
      <c r="CU42">
        <f t="shared" si="41"/>
        <v>0</v>
      </c>
      <c r="CV42">
        <f t="shared" si="42"/>
        <v>0</v>
      </c>
      <c r="CW42">
        <f t="shared" si="43"/>
        <v>0</v>
      </c>
      <c r="CX42">
        <f t="shared" si="44"/>
        <v>0.04</v>
      </c>
      <c r="CY42">
        <f t="shared" si="45"/>
        <v>0</v>
      </c>
      <c r="CZ42">
        <f t="shared" si="46"/>
        <v>0</v>
      </c>
      <c r="DC42" t="s">
        <v>6</v>
      </c>
      <c r="DD42" t="s">
        <v>6</v>
      </c>
      <c r="DE42" t="s">
        <v>6</v>
      </c>
      <c r="DF42" t="s">
        <v>6</v>
      </c>
      <c r="DG42" t="s">
        <v>6</v>
      </c>
      <c r="DH42" t="s">
        <v>6</v>
      </c>
      <c r="DI42" t="s">
        <v>6</v>
      </c>
      <c r="DJ42" t="s">
        <v>6</v>
      </c>
      <c r="DK42" t="s">
        <v>6</v>
      </c>
      <c r="DL42" t="s">
        <v>6</v>
      </c>
      <c r="DM42" t="s">
        <v>6</v>
      </c>
      <c r="DN42">
        <v>0</v>
      </c>
      <c r="DO42">
        <v>0</v>
      </c>
      <c r="DP42">
        <v>1</v>
      </c>
      <c r="DQ42">
        <v>1</v>
      </c>
      <c r="DU42">
        <v>1009</v>
      </c>
      <c r="DV42" t="s">
        <v>128</v>
      </c>
      <c r="DW42" t="s">
        <v>128</v>
      </c>
      <c r="DX42">
        <v>1</v>
      </c>
      <c r="EE42">
        <v>39495586</v>
      </c>
      <c r="EF42">
        <v>2</v>
      </c>
      <c r="EG42" t="s">
        <v>35</v>
      </c>
      <c r="EH42">
        <v>0</v>
      </c>
      <c r="EI42" t="s">
        <v>6</v>
      </c>
      <c r="EJ42">
        <v>1</v>
      </c>
      <c r="EK42">
        <v>47001</v>
      </c>
      <c r="EL42" t="s">
        <v>115</v>
      </c>
      <c r="EM42" t="s">
        <v>116</v>
      </c>
      <c r="EO42" t="s">
        <v>6</v>
      </c>
      <c r="EQ42">
        <v>0</v>
      </c>
      <c r="ER42">
        <v>153.19999999999999</v>
      </c>
      <c r="ES42">
        <v>153.19999999999999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47"/>
        <v>0</v>
      </c>
      <c r="FS42">
        <v>0</v>
      </c>
      <c r="FU42" t="s">
        <v>39</v>
      </c>
      <c r="FX42">
        <v>115</v>
      </c>
      <c r="FY42">
        <v>76.5</v>
      </c>
      <c r="GA42" t="s">
        <v>6</v>
      </c>
      <c r="GD42">
        <v>1</v>
      </c>
      <c r="GF42">
        <v>-1029131374</v>
      </c>
      <c r="GG42">
        <v>2</v>
      </c>
      <c r="GH42">
        <v>1</v>
      </c>
      <c r="GI42">
        <v>2</v>
      </c>
      <c r="GJ42">
        <v>0</v>
      </c>
      <c r="GK42">
        <v>0</v>
      </c>
      <c r="GL42">
        <f t="shared" si="48"/>
        <v>0</v>
      </c>
      <c r="GM42">
        <f t="shared" si="49"/>
        <v>4216.0600000000004</v>
      </c>
      <c r="GN42">
        <f t="shared" si="50"/>
        <v>4216.0600000000004</v>
      </c>
      <c r="GO42">
        <f t="shared" si="51"/>
        <v>0</v>
      </c>
      <c r="GP42">
        <f t="shared" si="52"/>
        <v>0</v>
      </c>
      <c r="GR42">
        <v>0</v>
      </c>
      <c r="GS42">
        <v>3</v>
      </c>
      <c r="GT42">
        <v>0</v>
      </c>
      <c r="GU42" t="s">
        <v>6</v>
      </c>
      <c r="GV42">
        <f t="shared" si="53"/>
        <v>0</v>
      </c>
      <c r="GW42">
        <v>1</v>
      </c>
      <c r="GX42">
        <f t="shared" si="54"/>
        <v>0</v>
      </c>
      <c r="HA42">
        <v>0</v>
      </c>
      <c r="HB42">
        <v>0</v>
      </c>
      <c r="HC42">
        <f t="shared" si="55"/>
        <v>0</v>
      </c>
      <c r="IK42">
        <v>0</v>
      </c>
    </row>
    <row r="44" spans="1:245" x14ac:dyDescent="0.2">
      <c r="A44" s="2">
        <v>51</v>
      </c>
      <c r="B44" s="2">
        <f>B24</f>
        <v>1</v>
      </c>
      <c r="C44" s="2">
        <f>A24</f>
        <v>4</v>
      </c>
      <c r="D44" s="2">
        <f>ROW(A24)</f>
        <v>24</v>
      </c>
      <c r="E44" s="2"/>
      <c r="F44" s="2" t="str">
        <f>IF(F24&lt;&gt;"",F24,"")</f>
        <v>Новый раздел</v>
      </c>
      <c r="G44" s="2" t="str">
        <f>IF(G24&lt;&gt;"",G24,"")</f>
        <v>Ремонтные работы</v>
      </c>
      <c r="H44" s="2">
        <v>0</v>
      </c>
      <c r="I44" s="2"/>
      <c r="J44" s="2"/>
      <c r="K44" s="2"/>
      <c r="L44" s="2"/>
      <c r="M44" s="2"/>
      <c r="N44" s="2"/>
      <c r="O44" s="2">
        <f t="shared" ref="O44:T44" si="56">ROUND(AB44,2)</f>
        <v>899486.49</v>
      </c>
      <c r="P44" s="2">
        <f t="shared" si="56"/>
        <v>224032.76</v>
      </c>
      <c r="Q44" s="2">
        <f t="shared" si="56"/>
        <v>114790.6</v>
      </c>
      <c r="R44" s="2">
        <f t="shared" si="56"/>
        <v>30743.439999999999</v>
      </c>
      <c r="S44" s="2">
        <f t="shared" si="56"/>
        <v>560663.13</v>
      </c>
      <c r="T44" s="2">
        <f t="shared" si="56"/>
        <v>0</v>
      </c>
      <c r="U44" s="2">
        <f>AH44</f>
        <v>2362.052794799999</v>
      </c>
      <c r="V44" s="2">
        <f>AI44</f>
        <v>86.036651999999989</v>
      </c>
      <c r="W44" s="2">
        <f>ROUND(AJ44,2)</f>
        <v>38.369999999999997</v>
      </c>
      <c r="X44" s="2">
        <f>ROUND(AK44,2)</f>
        <v>570070.21</v>
      </c>
      <c r="Y44" s="2">
        <f>ROUND(AL44,2)</f>
        <v>336320.24</v>
      </c>
      <c r="Z44" s="2"/>
      <c r="AA44" s="2"/>
      <c r="AB44" s="2">
        <f>ROUND(SUMIF(AA28:AA42,"=48276314",O28:O42),2)</f>
        <v>899486.49</v>
      </c>
      <c r="AC44" s="2">
        <f>ROUND(SUMIF(AA28:AA42,"=48276314",P28:P42),2)</f>
        <v>224032.76</v>
      </c>
      <c r="AD44" s="2">
        <f>ROUND(SUMIF(AA28:AA42,"=48276314",Q28:Q42),2)</f>
        <v>114790.6</v>
      </c>
      <c r="AE44" s="2">
        <f>ROUND(SUMIF(AA28:AA42,"=48276314",R28:R42),2)</f>
        <v>30743.439999999999</v>
      </c>
      <c r="AF44" s="2">
        <f>ROUND(SUMIF(AA28:AA42,"=48276314",S28:S42),2)</f>
        <v>560663.13</v>
      </c>
      <c r="AG44" s="2">
        <f>ROUND(SUMIF(AA28:AA42,"=48276314",T28:T42),2)</f>
        <v>0</v>
      </c>
      <c r="AH44" s="2">
        <f>SUMIF(AA28:AA42,"=48276314",U28:U42)</f>
        <v>2362.052794799999</v>
      </c>
      <c r="AI44" s="2">
        <f>SUMIF(AA28:AA42,"=48276314",V28:V42)</f>
        <v>86.036651999999989</v>
      </c>
      <c r="AJ44" s="2">
        <f>ROUND(SUMIF(AA28:AA42,"=48276314",W28:W42),2)</f>
        <v>38.369999999999997</v>
      </c>
      <c r="AK44" s="2">
        <f>ROUND(SUMIF(AA28:AA42,"=48276314",X28:X42),2)</f>
        <v>570070.21</v>
      </c>
      <c r="AL44" s="2">
        <f>ROUND(SUMIF(AA28:AA42,"=48276314",Y28:Y42),2)</f>
        <v>336320.24</v>
      </c>
      <c r="AM44" s="2"/>
      <c r="AN44" s="2"/>
      <c r="AO44" s="2">
        <f t="shared" ref="AO44:BC44" si="57">ROUND(BX44,2)</f>
        <v>0</v>
      </c>
      <c r="AP44" s="2">
        <f t="shared" si="57"/>
        <v>0</v>
      </c>
      <c r="AQ44" s="2">
        <f t="shared" si="57"/>
        <v>0</v>
      </c>
      <c r="AR44" s="2">
        <f t="shared" si="57"/>
        <v>1805876.94</v>
      </c>
      <c r="AS44" s="2">
        <f t="shared" si="57"/>
        <v>1742411.84</v>
      </c>
      <c r="AT44" s="2">
        <f t="shared" si="57"/>
        <v>63465.1</v>
      </c>
      <c r="AU44" s="2">
        <f t="shared" si="57"/>
        <v>0</v>
      </c>
      <c r="AV44" s="2">
        <f t="shared" si="57"/>
        <v>224032.76</v>
      </c>
      <c r="AW44" s="2">
        <f t="shared" si="57"/>
        <v>224032.76</v>
      </c>
      <c r="AX44" s="2">
        <f t="shared" si="57"/>
        <v>0</v>
      </c>
      <c r="AY44" s="2">
        <f t="shared" si="57"/>
        <v>224032.76</v>
      </c>
      <c r="AZ44" s="2">
        <f t="shared" si="57"/>
        <v>0</v>
      </c>
      <c r="BA44" s="2">
        <f t="shared" si="57"/>
        <v>0</v>
      </c>
      <c r="BB44" s="2">
        <f t="shared" si="57"/>
        <v>0</v>
      </c>
      <c r="BC44" s="2">
        <f t="shared" si="57"/>
        <v>0</v>
      </c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>
        <f>ROUND(SUMIF(AA28:AA42,"=48276314",FQ28:FQ42),2)</f>
        <v>0</v>
      </c>
      <c r="BY44" s="2">
        <f>ROUND(SUMIF(AA28:AA42,"=48276314",FR28:FR42),2)</f>
        <v>0</v>
      </c>
      <c r="BZ44" s="2">
        <f>ROUND(SUMIF(AA28:AA42,"=48276314",GL28:GL42),2)</f>
        <v>0</v>
      </c>
      <c r="CA44" s="2">
        <f>ROUND(SUMIF(AA28:AA42,"=48276314",GM28:GM42),2)</f>
        <v>1805876.94</v>
      </c>
      <c r="CB44" s="2">
        <f>ROUND(SUMIF(AA28:AA42,"=48276314",GN28:GN42),2)</f>
        <v>1742411.84</v>
      </c>
      <c r="CC44" s="2">
        <f>ROUND(SUMIF(AA28:AA42,"=48276314",GO28:GO42),2)</f>
        <v>63465.1</v>
      </c>
      <c r="CD44" s="2">
        <f>ROUND(SUMIF(AA28:AA42,"=48276314",GP28:GP42),2)</f>
        <v>0</v>
      </c>
      <c r="CE44" s="2">
        <f>AC44-BX44</f>
        <v>224032.76</v>
      </c>
      <c r="CF44" s="2">
        <f>AC44-BY44</f>
        <v>224032.76</v>
      </c>
      <c r="CG44" s="2">
        <f>BX44-BZ44</f>
        <v>0</v>
      </c>
      <c r="CH44" s="2">
        <f>AC44-BX44-BY44+BZ44</f>
        <v>224032.76</v>
      </c>
      <c r="CI44" s="2">
        <f>BY44-BZ44</f>
        <v>0</v>
      </c>
      <c r="CJ44" s="2">
        <f>ROUND(SUMIF(AA28:AA42,"=48276314",GX28:GX42),2)</f>
        <v>0</v>
      </c>
      <c r="CK44" s="2">
        <f>ROUND(SUMIF(AA28:AA42,"=48276314",GY28:GY42),2)</f>
        <v>0</v>
      </c>
      <c r="CL44" s="2">
        <f>ROUND(SUMIF(AA28:AA42,"=48276314",GZ28:GZ42),2)</f>
        <v>0</v>
      </c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>
        <v>0</v>
      </c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201</v>
      </c>
      <c r="F46" s="4">
        <f>ROUND(Source!O44,O46)</f>
        <v>899486.49</v>
      </c>
      <c r="G46" s="4" t="s">
        <v>130</v>
      </c>
      <c r="H46" s="4" t="s">
        <v>131</v>
      </c>
      <c r="I46" s="4"/>
      <c r="J46" s="4"/>
      <c r="K46" s="4">
        <v>201</v>
      </c>
      <c r="L46" s="4">
        <v>1</v>
      </c>
      <c r="M46" s="4">
        <v>3</v>
      </c>
      <c r="N46" s="4" t="s">
        <v>6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202</v>
      </c>
      <c r="F47" s="4">
        <f>ROUND(Source!P44,O47)</f>
        <v>224032.76</v>
      </c>
      <c r="G47" s="4" t="s">
        <v>132</v>
      </c>
      <c r="H47" s="4" t="s">
        <v>133</v>
      </c>
      <c r="I47" s="4"/>
      <c r="J47" s="4"/>
      <c r="K47" s="4">
        <v>202</v>
      </c>
      <c r="L47" s="4">
        <v>2</v>
      </c>
      <c r="M47" s="4">
        <v>3</v>
      </c>
      <c r="N47" s="4" t="s">
        <v>6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222</v>
      </c>
      <c r="F48" s="4">
        <f>ROUND(Source!AO44,O48)</f>
        <v>0</v>
      </c>
      <c r="G48" s="4" t="s">
        <v>134</v>
      </c>
      <c r="H48" s="4" t="s">
        <v>135</v>
      </c>
      <c r="I48" s="4"/>
      <c r="J48" s="4"/>
      <c r="K48" s="4">
        <v>222</v>
      </c>
      <c r="L48" s="4">
        <v>3</v>
      </c>
      <c r="M48" s="4">
        <v>3</v>
      </c>
      <c r="N48" s="4" t="s">
        <v>6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225</v>
      </c>
      <c r="F49" s="4">
        <f>ROUND(Source!AV44,O49)</f>
        <v>224032.76</v>
      </c>
      <c r="G49" s="4" t="s">
        <v>136</v>
      </c>
      <c r="H49" s="4" t="s">
        <v>137</v>
      </c>
      <c r="I49" s="4"/>
      <c r="J49" s="4"/>
      <c r="K49" s="4">
        <v>225</v>
      </c>
      <c r="L49" s="4">
        <v>4</v>
      </c>
      <c r="M49" s="4">
        <v>3</v>
      </c>
      <c r="N49" s="4" t="s">
        <v>6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226</v>
      </c>
      <c r="F50" s="4">
        <f>ROUND(Source!AW44,O50)</f>
        <v>224032.76</v>
      </c>
      <c r="G50" s="4" t="s">
        <v>138</v>
      </c>
      <c r="H50" s="4" t="s">
        <v>139</v>
      </c>
      <c r="I50" s="4"/>
      <c r="J50" s="4"/>
      <c r="K50" s="4">
        <v>226</v>
      </c>
      <c r="L50" s="4">
        <v>5</v>
      </c>
      <c r="M50" s="4">
        <v>3</v>
      </c>
      <c r="N50" s="4" t="s">
        <v>6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227</v>
      </c>
      <c r="F51" s="4">
        <f>ROUND(Source!AX44,O51)</f>
        <v>0</v>
      </c>
      <c r="G51" s="4" t="s">
        <v>140</v>
      </c>
      <c r="H51" s="4" t="s">
        <v>141</v>
      </c>
      <c r="I51" s="4"/>
      <c r="J51" s="4"/>
      <c r="K51" s="4">
        <v>227</v>
      </c>
      <c r="L51" s="4">
        <v>6</v>
      </c>
      <c r="M51" s="4">
        <v>3</v>
      </c>
      <c r="N51" s="4" t="s">
        <v>6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228</v>
      </c>
      <c r="F52" s="4">
        <f>ROUND(Source!AY44,O52)</f>
        <v>224032.76</v>
      </c>
      <c r="G52" s="4" t="s">
        <v>142</v>
      </c>
      <c r="H52" s="4" t="s">
        <v>143</v>
      </c>
      <c r="I52" s="4"/>
      <c r="J52" s="4"/>
      <c r="K52" s="4">
        <v>228</v>
      </c>
      <c r="L52" s="4">
        <v>7</v>
      </c>
      <c r="M52" s="4">
        <v>3</v>
      </c>
      <c r="N52" s="4" t="s">
        <v>6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216</v>
      </c>
      <c r="F53" s="4">
        <f>ROUND(Source!AP44,O53)</f>
        <v>0</v>
      </c>
      <c r="G53" s="4" t="s">
        <v>144</v>
      </c>
      <c r="H53" s="4" t="s">
        <v>145</v>
      </c>
      <c r="I53" s="4"/>
      <c r="J53" s="4"/>
      <c r="K53" s="4">
        <v>216</v>
      </c>
      <c r="L53" s="4">
        <v>8</v>
      </c>
      <c r="M53" s="4">
        <v>3</v>
      </c>
      <c r="N53" s="4" t="s">
        <v>6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223</v>
      </c>
      <c r="F54" s="4">
        <f>ROUND(Source!AQ44,O54)</f>
        <v>0</v>
      </c>
      <c r="G54" s="4" t="s">
        <v>146</v>
      </c>
      <c r="H54" s="4" t="s">
        <v>147</v>
      </c>
      <c r="I54" s="4"/>
      <c r="J54" s="4"/>
      <c r="K54" s="4">
        <v>223</v>
      </c>
      <c r="L54" s="4">
        <v>9</v>
      </c>
      <c r="M54" s="4">
        <v>3</v>
      </c>
      <c r="N54" s="4" t="s">
        <v>6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229</v>
      </c>
      <c r="F55" s="4">
        <f>ROUND(Source!AZ44,O55)</f>
        <v>0</v>
      </c>
      <c r="G55" s="4" t="s">
        <v>148</v>
      </c>
      <c r="H55" s="4" t="s">
        <v>149</v>
      </c>
      <c r="I55" s="4"/>
      <c r="J55" s="4"/>
      <c r="K55" s="4">
        <v>229</v>
      </c>
      <c r="L55" s="4">
        <v>10</v>
      </c>
      <c r="M55" s="4">
        <v>3</v>
      </c>
      <c r="N55" s="4" t="s">
        <v>6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203</v>
      </c>
      <c r="F56" s="4">
        <f>ROUND(Source!Q44,O56)</f>
        <v>114790.6</v>
      </c>
      <c r="G56" s="4" t="s">
        <v>150</v>
      </c>
      <c r="H56" s="4" t="s">
        <v>151</v>
      </c>
      <c r="I56" s="4"/>
      <c r="J56" s="4"/>
      <c r="K56" s="4">
        <v>203</v>
      </c>
      <c r="L56" s="4">
        <v>11</v>
      </c>
      <c r="M56" s="4">
        <v>3</v>
      </c>
      <c r="N56" s="4" t="s">
        <v>6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231</v>
      </c>
      <c r="F57" s="4">
        <f>ROUND(Source!BB44,O57)</f>
        <v>0</v>
      </c>
      <c r="G57" s="4" t="s">
        <v>152</v>
      </c>
      <c r="H57" s="4" t="s">
        <v>153</v>
      </c>
      <c r="I57" s="4"/>
      <c r="J57" s="4"/>
      <c r="K57" s="4">
        <v>231</v>
      </c>
      <c r="L57" s="4">
        <v>12</v>
      </c>
      <c r="M57" s="4">
        <v>3</v>
      </c>
      <c r="N57" s="4" t="s">
        <v>6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204</v>
      </c>
      <c r="F58" s="4">
        <f>ROUND(Source!R44,O58)</f>
        <v>30743.439999999999</v>
      </c>
      <c r="G58" s="4" t="s">
        <v>154</v>
      </c>
      <c r="H58" s="4" t="s">
        <v>155</v>
      </c>
      <c r="I58" s="4"/>
      <c r="J58" s="4"/>
      <c r="K58" s="4">
        <v>204</v>
      </c>
      <c r="L58" s="4">
        <v>13</v>
      </c>
      <c r="M58" s="4">
        <v>3</v>
      </c>
      <c r="N58" s="4" t="s">
        <v>6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205</v>
      </c>
      <c r="F59" s="4">
        <f>ROUND(Source!S44,O59)</f>
        <v>560663.13</v>
      </c>
      <c r="G59" s="4" t="s">
        <v>156</v>
      </c>
      <c r="H59" s="4" t="s">
        <v>157</v>
      </c>
      <c r="I59" s="4"/>
      <c r="J59" s="4"/>
      <c r="K59" s="4">
        <v>205</v>
      </c>
      <c r="L59" s="4">
        <v>14</v>
      </c>
      <c r="M59" s="4">
        <v>3</v>
      </c>
      <c r="N59" s="4" t="s">
        <v>6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232</v>
      </c>
      <c r="F60" s="4">
        <f>ROUND(Source!BC44,O60)</f>
        <v>0</v>
      </c>
      <c r="G60" s="4" t="s">
        <v>158</v>
      </c>
      <c r="H60" s="4" t="s">
        <v>159</v>
      </c>
      <c r="I60" s="4"/>
      <c r="J60" s="4"/>
      <c r="K60" s="4">
        <v>232</v>
      </c>
      <c r="L60" s="4">
        <v>15</v>
      </c>
      <c r="M60" s="4">
        <v>3</v>
      </c>
      <c r="N60" s="4" t="s">
        <v>6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214</v>
      </c>
      <c r="F61" s="4">
        <f>ROUND(Source!AS44,O61)</f>
        <v>1742411.84</v>
      </c>
      <c r="G61" s="4" t="s">
        <v>160</v>
      </c>
      <c r="H61" s="4" t="s">
        <v>161</v>
      </c>
      <c r="I61" s="4"/>
      <c r="J61" s="4"/>
      <c r="K61" s="4">
        <v>214</v>
      </c>
      <c r="L61" s="4">
        <v>16</v>
      </c>
      <c r="M61" s="4">
        <v>3</v>
      </c>
      <c r="N61" s="4" t="s">
        <v>6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215</v>
      </c>
      <c r="F62" s="4">
        <f>ROUND(Source!AT44,O62)</f>
        <v>63465.1</v>
      </c>
      <c r="G62" s="4" t="s">
        <v>162</v>
      </c>
      <c r="H62" s="4" t="s">
        <v>163</v>
      </c>
      <c r="I62" s="4"/>
      <c r="J62" s="4"/>
      <c r="K62" s="4">
        <v>215</v>
      </c>
      <c r="L62" s="4">
        <v>17</v>
      </c>
      <c r="M62" s="4">
        <v>3</v>
      </c>
      <c r="N62" s="4" t="s">
        <v>6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217</v>
      </c>
      <c r="F63" s="4">
        <f>ROUND(Source!AU44,O63)</f>
        <v>0</v>
      </c>
      <c r="G63" s="4" t="s">
        <v>164</v>
      </c>
      <c r="H63" s="4" t="s">
        <v>165</v>
      </c>
      <c r="I63" s="4"/>
      <c r="J63" s="4"/>
      <c r="K63" s="4">
        <v>217</v>
      </c>
      <c r="L63" s="4">
        <v>18</v>
      </c>
      <c r="M63" s="4">
        <v>3</v>
      </c>
      <c r="N63" s="4" t="s">
        <v>6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230</v>
      </c>
      <c r="F64" s="4">
        <f>ROUND(Source!BA44,O64)</f>
        <v>0</v>
      </c>
      <c r="G64" s="4" t="s">
        <v>166</v>
      </c>
      <c r="H64" s="4" t="s">
        <v>167</v>
      </c>
      <c r="I64" s="4"/>
      <c r="J64" s="4"/>
      <c r="K64" s="4">
        <v>230</v>
      </c>
      <c r="L64" s="4">
        <v>19</v>
      </c>
      <c r="M64" s="4">
        <v>3</v>
      </c>
      <c r="N64" s="4" t="s">
        <v>6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206</v>
      </c>
      <c r="F65" s="4">
        <f>ROUND(Source!T44,O65)</f>
        <v>0</v>
      </c>
      <c r="G65" s="4" t="s">
        <v>168</v>
      </c>
      <c r="H65" s="4" t="s">
        <v>169</v>
      </c>
      <c r="I65" s="4"/>
      <c r="J65" s="4"/>
      <c r="K65" s="4">
        <v>206</v>
      </c>
      <c r="L65" s="4">
        <v>20</v>
      </c>
      <c r="M65" s="4">
        <v>3</v>
      </c>
      <c r="N65" s="4" t="s">
        <v>6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207</v>
      </c>
      <c r="F66" s="4">
        <f>Source!U44</f>
        <v>2362.052794799999</v>
      </c>
      <c r="G66" s="4" t="s">
        <v>170</v>
      </c>
      <c r="H66" s="4" t="s">
        <v>171</v>
      </c>
      <c r="I66" s="4"/>
      <c r="J66" s="4"/>
      <c r="K66" s="4">
        <v>207</v>
      </c>
      <c r="L66" s="4">
        <v>21</v>
      </c>
      <c r="M66" s="4">
        <v>3</v>
      </c>
      <c r="N66" s="4" t="s">
        <v>6</v>
      </c>
      <c r="O66" s="4">
        <v>-1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208</v>
      </c>
      <c r="F67" s="4">
        <f>Source!V44</f>
        <v>86.036651999999989</v>
      </c>
      <c r="G67" s="4" t="s">
        <v>172</v>
      </c>
      <c r="H67" s="4" t="s">
        <v>173</v>
      </c>
      <c r="I67" s="4"/>
      <c r="J67" s="4"/>
      <c r="K67" s="4">
        <v>208</v>
      </c>
      <c r="L67" s="4">
        <v>22</v>
      </c>
      <c r="M67" s="4">
        <v>3</v>
      </c>
      <c r="N67" s="4" t="s">
        <v>6</v>
      </c>
      <c r="O67" s="4">
        <v>-1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209</v>
      </c>
      <c r="F68" s="4">
        <f>ROUND(Source!W44,O68)</f>
        <v>38.369999999999997</v>
      </c>
      <c r="G68" s="4" t="s">
        <v>174</v>
      </c>
      <c r="H68" s="4" t="s">
        <v>175</v>
      </c>
      <c r="I68" s="4"/>
      <c r="J68" s="4"/>
      <c r="K68" s="4">
        <v>209</v>
      </c>
      <c r="L68" s="4">
        <v>23</v>
      </c>
      <c r="M68" s="4">
        <v>3</v>
      </c>
      <c r="N68" s="4" t="s">
        <v>6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210</v>
      </c>
      <c r="F69" s="4">
        <f>ROUND(Source!X44,O69)</f>
        <v>570070.21</v>
      </c>
      <c r="G69" s="4" t="s">
        <v>176</v>
      </c>
      <c r="H69" s="4" t="s">
        <v>177</v>
      </c>
      <c r="I69" s="4"/>
      <c r="J69" s="4"/>
      <c r="K69" s="4">
        <v>210</v>
      </c>
      <c r="L69" s="4">
        <v>24</v>
      </c>
      <c r="M69" s="4">
        <v>3</v>
      </c>
      <c r="N69" s="4" t="s">
        <v>6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45" x14ac:dyDescent="0.2">
      <c r="A70" s="4">
        <v>50</v>
      </c>
      <c r="B70" s="4">
        <v>0</v>
      </c>
      <c r="C70" s="4">
        <v>0</v>
      </c>
      <c r="D70" s="4">
        <v>1</v>
      </c>
      <c r="E70" s="4">
        <v>211</v>
      </c>
      <c r="F70" s="4">
        <f>ROUND(Source!Y44,O70)</f>
        <v>336320.24</v>
      </c>
      <c r="G70" s="4" t="s">
        <v>178</v>
      </c>
      <c r="H70" s="4" t="s">
        <v>179</v>
      </c>
      <c r="I70" s="4"/>
      <c r="J70" s="4"/>
      <c r="K70" s="4">
        <v>211</v>
      </c>
      <c r="L70" s="4">
        <v>25</v>
      </c>
      <c r="M70" s="4">
        <v>3</v>
      </c>
      <c r="N70" s="4" t="s">
        <v>6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45" x14ac:dyDescent="0.2">
      <c r="A71" s="4">
        <v>50</v>
      </c>
      <c r="B71" s="4">
        <v>0</v>
      </c>
      <c r="C71" s="4">
        <v>0</v>
      </c>
      <c r="D71" s="4">
        <v>1</v>
      </c>
      <c r="E71" s="4">
        <v>224</v>
      </c>
      <c r="F71" s="4">
        <f>ROUND(Source!AR44,O71)</f>
        <v>1805876.94</v>
      </c>
      <c r="G71" s="4" t="s">
        <v>180</v>
      </c>
      <c r="H71" s="4" t="s">
        <v>181</v>
      </c>
      <c r="I71" s="4"/>
      <c r="J71" s="4"/>
      <c r="K71" s="4">
        <v>224</v>
      </c>
      <c r="L71" s="4">
        <v>26</v>
      </c>
      <c r="M71" s="4">
        <v>3</v>
      </c>
      <c r="N71" s="4" t="s">
        <v>6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3" spans="1:245" x14ac:dyDescent="0.2">
      <c r="A73" s="1">
        <v>4</v>
      </c>
      <c r="B73" s="1">
        <v>1</v>
      </c>
      <c r="C73" s="1"/>
      <c r="D73" s="1">
        <f>ROW(A92)</f>
        <v>92</v>
      </c>
      <c r="E73" s="1"/>
      <c r="F73" s="1" t="s">
        <v>27</v>
      </c>
      <c r="G73" s="1" t="s">
        <v>182</v>
      </c>
      <c r="H73" s="1" t="s">
        <v>6</v>
      </c>
      <c r="I73" s="1">
        <v>0</v>
      </c>
      <c r="J73" s="1"/>
      <c r="K73" s="1">
        <v>-1</v>
      </c>
      <c r="L73" s="1"/>
      <c r="M73" s="1"/>
      <c r="N73" s="1"/>
      <c r="O73" s="1"/>
      <c r="P73" s="1"/>
      <c r="Q73" s="1"/>
      <c r="R73" s="1"/>
      <c r="S73" s="1"/>
      <c r="T73" s="1"/>
      <c r="U73" s="1" t="s">
        <v>6</v>
      </c>
      <c r="V73" s="1">
        <v>0</v>
      </c>
      <c r="W73" s="1"/>
      <c r="X73" s="1"/>
      <c r="Y73" s="1"/>
      <c r="Z73" s="1"/>
      <c r="AA73" s="1"/>
      <c r="AB73" s="1" t="s">
        <v>6</v>
      </c>
      <c r="AC73" s="1" t="s">
        <v>6</v>
      </c>
      <c r="AD73" s="1" t="s">
        <v>6</v>
      </c>
      <c r="AE73" s="1" t="s">
        <v>6</v>
      </c>
      <c r="AF73" s="1" t="s">
        <v>6</v>
      </c>
      <c r="AG73" s="1" t="s">
        <v>6</v>
      </c>
      <c r="AH73" s="1"/>
      <c r="AI73" s="1"/>
      <c r="AJ73" s="1"/>
      <c r="AK73" s="1"/>
      <c r="AL73" s="1"/>
      <c r="AM73" s="1"/>
      <c r="AN73" s="1"/>
      <c r="AO73" s="1"/>
      <c r="AP73" s="1" t="s">
        <v>6</v>
      </c>
      <c r="AQ73" s="1" t="s">
        <v>6</v>
      </c>
      <c r="AR73" s="1" t="s">
        <v>6</v>
      </c>
      <c r="AS73" s="1"/>
      <c r="AT73" s="1"/>
      <c r="AU73" s="1"/>
      <c r="AV73" s="1"/>
      <c r="AW73" s="1"/>
      <c r="AX73" s="1"/>
      <c r="AY73" s="1"/>
      <c r="AZ73" s="1" t="s">
        <v>6</v>
      </c>
      <c r="BA73" s="1"/>
      <c r="BB73" s="1" t="s">
        <v>6</v>
      </c>
      <c r="BC73" s="1" t="s">
        <v>6</v>
      </c>
      <c r="BD73" s="1" t="s">
        <v>6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6</v>
      </c>
      <c r="BK73" s="1" t="s">
        <v>6</v>
      </c>
      <c r="BL73" s="1" t="s">
        <v>6</v>
      </c>
      <c r="BM73" s="1" t="s">
        <v>6</v>
      </c>
      <c r="BN73" s="1" t="s">
        <v>6</v>
      </c>
      <c r="BO73" s="1" t="s">
        <v>6</v>
      </c>
      <c r="BP73" s="1" t="s">
        <v>6</v>
      </c>
      <c r="BQ73" s="1"/>
      <c r="BR73" s="1"/>
      <c r="BS73" s="1"/>
      <c r="BT73" s="1"/>
      <c r="BU73" s="1"/>
      <c r="BV73" s="1"/>
      <c r="BW73" s="1"/>
      <c r="BX73" s="1"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>
        <v>0</v>
      </c>
    </row>
    <row r="75" spans="1:245" x14ac:dyDescent="0.2">
      <c r="A75" s="2">
        <v>52</v>
      </c>
      <c r="B75" s="2">
        <f t="shared" ref="B75:G75" si="58">B92</f>
        <v>1</v>
      </c>
      <c r="C75" s="2">
        <f t="shared" si="58"/>
        <v>4</v>
      </c>
      <c r="D75" s="2">
        <f t="shared" si="58"/>
        <v>73</v>
      </c>
      <c r="E75" s="2">
        <f t="shared" si="58"/>
        <v>0</v>
      </c>
      <c r="F75" s="2" t="str">
        <f t="shared" si="58"/>
        <v>Новый раздел</v>
      </c>
      <c r="G75" s="2" t="str">
        <f t="shared" si="58"/>
        <v>Электромонтажные работы</v>
      </c>
      <c r="H75" s="2"/>
      <c r="I75" s="2"/>
      <c r="J75" s="2"/>
      <c r="K75" s="2"/>
      <c r="L75" s="2"/>
      <c r="M75" s="2"/>
      <c r="N75" s="2"/>
      <c r="O75" s="2">
        <f t="shared" ref="O75:AT75" si="59">O92</f>
        <v>399511.71</v>
      </c>
      <c r="P75" s="2">
        <f t="shared" si="59"/>
        <v>173346.6</v>
      </c>
      <c r="Q75" s="2">
        <f t="shared" si="59"/>
        <v>99967.01</v>
      </c>
      <c r="R75" s="2">
        <f t="shared" si="59"/>
        <v>13076.22</v>
      </c>
      <c r="S75" s="2">
        <f t="shared" si="59"/>
        <v>126198.1</v>
      </c>
      <c r="T75" s="2">
        <f t="shared" si="59"/>
        <v>0</v>
      </c>
      <c r="U75" s="2">
        <f t="shared" si="59"/>
        <v>445.50586799999991</v>
      </c>
      <c r="V75" s="2">
        <f t="shared" si="59"/>
        <v>32.231777999999998</v>
      </c>
      <c r="W75" s="2">
        <f t="shared" si="59"/>
        <v>3329.48</v>
      </c>
      <c r="X75" s="2">
        <f t="shared" si="59"/>
        <v>132310.62</v>
      </c>
      <c r="Y75" s="2">
        <f t="shared" si="59"/>
        <v>90528.320000000007</v>
      </c>
      <c r="Z75" s="2">
        <f t="shared" si="59"/>
        <v>0</v>
      </c>
      <c r="AA75" s="2">
        <f t="shared" si="59"/>
        <v>0</v>
      </c>
      <c r="AB75" s="2">
        <f t="shared" si="59"/>
        <v>399511.71</v>
      </c>
      <c r="AC75" s="2">
        <f t="shared" si="59"/>
        <v>173346.6</v>
      </c>
      <c r="AD75" s="2">
        <f t="shared" si="59"/>
        <v>99967.01</v>
      </c>
      <c r="AE75" s="2">
        <f t="shared" si="59"/>
        <v>13076.22</v>
      </c>
      <c r="AF75" s="2">
        <f t="shared" si="59"/>
        <v>126198.1</v>
      </c>
      <c r="AG75" s="2">
        <f t="shared" si="59"/>
        <v>0</v>
      </c>
      <c r="AH75" s="2">
        <f t="shared" si="59"/>
        <v>445.50586799999991</v>
      </c>
      <c r="AI75" s="2">
        <f t="shared" si="59"/>
        <v>32.231777999999998</v>
      </c>
      <c r="AJ75" s="2">
        <f t="shared" si="59"/>
        <v>3329.48</v>
      </c>
      <c r="AK75" s="2">
        <f t="shared" si="59"/>
        <v>132310.62</v>
      </c>
      <c r="AL75" s="2">
        <f t="shared" si="59"/>
        <v>90528.320000000007</v>
      </c>
      <c r="AM75" s="2">
        <f t="shared" si="59"/>
        <v>0</v>
      </c>
      <c r="AN75" s="2">
        <f t="shared" si="59"/>
        <v>0</v>
      </c>
      <c r="AO75" s="2">
        <f t="shared" si="59"/>
        <v>0</v>
      </c>
      <c r="AP75" s="2">
        <f t="shared" si="59"/>
        <v>0</v>
      </c>
      <c r="AQ75" s="2">
        <f t="shared" si="59"/>
        <v>0</v>
      </c>
      <c r="AR75" s="2">
        <f t="shared" si="59"/>
        <v>622350.65</v>
      </c>
      <c r="AS75" s="2">
        <f t="shared" si="59"/>
        <v>2527.9699999999998</v>
      </c>
      <c r="AT75" s="2">
        <f t="shared" si="59"/>
        <v>619822.68000000005</v>
      </c>
      <c r="AU75" s="2">
        <f t="shared" ref="AU75:BZ75" si="60">AU92</f>
        <v>0</v>
      </c>
      <c r="AV75" s="2">
        <f t="shared" si="60"/>
        <v>173346.6</v>
      </c>
      <c r="AW75" s="2">
        <f t="shared" si="60"/>
        <v>173346.6</v>
      </c>
      <c r="AX75" s="2">
        <f t="shared" si="60"/>
        <v>0</v>
      </c>
      <c r="AY75" s="2">
        <f t="shared" si="60"/>
        <v>173346.6</v>
      </c>
      <c r="AZ75" s="2">
        <f t="shared" si="60"/>
        <v>0</v>
      </c>
      <c r="BA75" s="2">
        <f t="shared" si="60"/>
        <v>0</v>
      </c>
      <c r="BB75" s="2">
        <f t="shared" si="60"/>
        <v>0</v>
      </c>
      <c r="BC75" s="2">
        <f t="shared" si="60"/>
        <v>0</v>
      </c>
      <c r="BD75" s="2">
        <f t="shared" si="60"/>
        <v>0</v>
      </c>
      <c r="BE75" s="2">
        <f t="shared" si="60"/>
        <v>0</v>
      </c>
      <c r="BF75" s="2">
        <f t="shared" si="60"/>
        <v>0</v>
      </c>
      <c r="BG75" s="2">
        <f t="shared" si="60"/>
        <v>0</v>
      </c>
      <c r="BH75" s="2">
        <f t="shared" si="60"/>
        <v>0</v>
      </c>
      <c r="BI75" s="2">
        <f t="shared" si="60"/>
        <v>0</v>
      </c>
      <c r="BJ75" s="2">
        <f t="shared" si="60"/>
        <v>0</v>
      </c>
      <c r="BK75" s="2">
        <f t="shared" si="60"/>
        <v>0</v>
      </c>
      <c r="BL75" s="2">
        <f t="shared" si="60"/>
        <v>0</v>
      </c>
      <c r="BM75" s="2">
        <f t="shared" si="60"/>
        <v>0</v>
      </c>
      <c r="BN75" s="2">
        <f t="shared" si="60"/>
        <v>0</v>
      </c>
      <c r="BO75" s="2">
        <f t="shared" si="60"/>
        <v>0</v>
      </c>
      <c r="BP75" s="2">
        <f t="shared" si="60"/>
        <v>0</v>
      </c>
      <c r="BQ75" s="2">
        <f t="shared" si="60"/>
        <v>0</v>
      </c>
      <c r="BR75" s="2">
        <f t="shared" si="60"/>
        <v>0</v>
      </c>
      <c r="BS75" s="2">
        <f t="shared" si="60"/>
        <v>0</v>
      </c>
      <c r="BT75" s="2">
        <f t="shared" si="60"/>
        <v>0</v>
      </c>
      <c r="BU75" s="2">
        <f t="shared" si="60"/>
        <v>0</v>
      </c>
      <c r="BV75" s="2">
        <f t="shared" si="60"/>
        <v>0</v>
      </c>
      <c r="BW75" s="2">
        <f t="shared" si="60"/>
        <v>0</v>
      </c>
      <c r="BX75" s="2">
        <f t="shared" si="60"/>
        <v>0</v>
      </c>
      <c r="BY75" s="2">
        <f t="shared" si="60"/>
        <v>0</v>
      </c>
      <c r="BZ75" s="2">
        <f t="shared" si="60"/>
        <v>0</v>
      </c>
      <c r="CA75" s="2">
        <f t="shared" ref="CA75:DF75" si="61">CA92</f>
        <v>622350.65</v>
      </c>
      <c r="CB75" s="2">
        <f t="shared" si="61"/>
        <v>2527.9699999999998</v>
      </c>
      <c r="CC75" s="2">
        <f t="shared" si="61"/>
        <v>619822.68000000005</v>
      </c>
      <c r="CD75" s="2">
        <f t="shared" si="61"/>
        <v>0</v>
      </c>
      <c r="CE75" s="2">
        <f t="shared" si="61"/>
        <v>173346.6</v>
      </c>
      <c r="CF75" s="2">
        <f t="shared" si="61"/>
        <v>173346.6</v>
      </c>
      <c r="CG75" s="2">
        <f t="shared" si="61"/>
        <v>0</v>
      </c>
      <c r="CH75" s="2">
        <f t="shared" si="61"/>
        <v>173346.6</v>
      </c>
      <c r="CI75" s="2">
        <f t="shared" si="61"/>
        <v>0</v>
      </c>
      <c r="CJ75" s="2">
        <f t="shared" si="61"/>
        <v>0</v>
      </c>
      <c r="CK75" s="2">
        <f t="shared" si="61"/>
        <v>0</v>
      </c>
      <c r="CL75" s="2">
        <f t="shared" si="61"/>
        <v>0</v>
      </c>
      <c r="CM75" s="2">
        <f t="shared" si="61"/>
        <v>0</v>
      </c>
      <c r="CN75" s="2">
        <f t="shared" si="61"/>
        <v>0</v>
      </c>
      <c r="CO75" s="2">
        <f t="shared" si="61"/>
        <v>0</v>
      </c>
      <c r="CP75" s="2">
        <f t="shared" si="61"/>
        <v>0</v>
      </c>
      <c r="CQ75" s="2">
        <f t="shared" si="61"/>
        <v>0</v>
      </c>
      <c r="CR75" s="2">
        <f t="shared" si="61"/>
        <v>0</v>
      </c>
      <c r="CS75" s="2">
        <f t="shared" si="61"/>
        <v>0</v>
      </c>
      <c r="CT75" s="2">
        <f t="shared" si="61"/>
        <v>0</v>
      </c>
      <c r="CU75" s="2">
        <f t="shared" si="61"/>
        <v>0</v>
      </c>
      <c r="CV75" s="2">
        <f t="shared" si="61"/>
        <v>0</v>
      </c>
      <c r="CW75" s="2">
        <f t="shared" si="61"/>
        <v>0</v>
      </c>
      <c r="CX75" s="2">
        <f t="shared" si="61"/>
        <v>0</v>
      </c>
      <c r="CY75" s="2">
        <f t="shared" si="61"/>
        <v>0</v>
      </c>
      <c r="CZ75" s="2">
        <f t="shared" si="61"/>
        <v>0</v>
      </c>
      <c r="DA75" s="2">
        <f t="shared" si="61"/>
        <v>0</v>
      </c>
      <c r="DB75" s="2">
        <f t="shared" si="61"/>
        <v>0</v>
      </c>
      <c r="DC75" s="2">
        <f t="shared" si="61"/>
        <v>0</v>
      </c>
      <c r="DD75" s="2">
        <f t="shared" si="61"/>
        <v>0</v>
      </c>
      <c r="DE75" s="2">
        <f t="shared" si="61"/>
        <v>0</v>
      </c>
      <c r="DF75" s="2">
        <f t="shared" si="61"/>
        <v>0</v>
      </c>
      <c r="DG75" s="3">
        <f t="shared" ref="DG75:EL75" si="62">DG92</f>
        <v>0</v>
      </c>
      <c r="DH75" s="3">
        <f t="shared" si="62"/>
        <v>0</v>
      </c>
      <c r="DI75" s="3">
        <f t="shared" si="62"/>
        <v>0</v>
      </c>
      <c r="DJ75" s="3">
        <f t="shared" si="62"/>
        <v>0</v>
      </c>
      <c r="DK75" s="3">
        <f t="shared" si="62"/>
        <v>0</v>
      </c>
      <c r="DL75" s="3">
        <f t="shared" si="62"/>
        <v>0</v>
      </c>
      <c r="DM75" s="3">
        <f t="shared" si="62"/>
        <v>0</v>
      </c>
      <c r="DN75" s="3">
        <f t="shared" si="62"/>
        <v>0</v>
      </c>
      <c r="DO75" s="3">
        <f t="shared" si="62"/>
        <v>0</v>
      </c>
      <c r="DP75" s="3">
        <f t="shared" si="62"/>
        <v>0</v>
      </c>
      <c r="DQ75" s="3">
        <f t="shared" si="62"/>
        <v>0</v>
      </c>
      <c r="DR75" s="3">
        <f t="shared" si="62"/>
        <v>0</v>
      </c>
      <c r="DS75" s="3">
        <f t="shared" si="62"/>
        <v>0</v>
      </c>
      <c r="DT75" s="3">
        <f t="shared" si="62"/>
        <v>0</v>
      </c>
      <c r="DU75" s="3">
        <f t="shared" si="62"/>
        <v>0</v>
      </c>
      <c r="DV75" s="3">
        <f t="shared" si="62"/>
        <v>0</v>
      </c>
      <c r="DW75" s="3">
        <f t="shared" si="62"/>
        <v>0</v>
      </c>
      <c r="DX75" s="3">
        <f t="shared" si="62"/>
        <v>0</v>
      </c>
      <c r="DY75" s="3">
        <f t="shared" si="62"/>
        <v>0</v>
      </c>
      <c r="DZ75" s="3">
        <f t="shared" si="62"/>
        <v>0</v>
      </c>
      <c r="EA75" s="3">
        <f t="shared" si="62"/>
        <v>0</v>
      </c>
      <c r="EB75" s="3">
        <f t="shared" si="62"/>
        <v>0</v>
      </c>
      <c r="EC75" s="3">
        <f t="shared" si="62"/>
        <v>0</v>
      </c>
      <c r="ED75" s="3">
        <f t="shared" si="62"/>
        <v>0</v>
      </c>
      <c r="EE75" s="3">
        <f t="shared" si="62"/>
        <v>0</v>
      </c>
      <c r="EF75" s="3">
        <f t="shared" si="62"/>
        <v>0</v>
      </c>
      <c r="EG75" s="3">
        <f t="shared" si="62"/>
        <v>0</v>
      </c>
      <c r="EH75" s="3">
        <f t="shared" si="62"/>
        <v>0</v>
      </c>
      <c r="EI75" s="3">
        <f t="shared" si="62"/>
        <v>0</v>
      </c>
      <c r="EJ75" s="3">
        <f t="shared" si="62"/>
        <v>0</v>
      </c>
      <c r="EK75" s="3">
        <f t="shared" si="62"/>
        <v>0</v>
      </c>
      <c r="EL75" s="3">
        <f t="shared" si="62"/>
        <v>0</v>
      </c>
      <c r="EM75" s="3">
        <f t="shared" ref="EM75:FR75" si="63">EM92</f>
        <v>0</v>
      </c>
      <c r="EN75" s="3">
        <f t="shared" si="63"/>
        <v>0</v>
      </c>
      <c r="EO75" s="3">
        <f t="shared" si="63"/>
        <v>0</v>
      </c>
      <c r="EP75" s="3">
        <f t="shared" si="63"/>
        <v>0</v>
      </c>
      <c r="EQ75" s="3">
        <f t="shared" si="63"/>
        <v>0</v>
      </c>
      <c r="ER75" s="3">
        <f t="shared" si="63"/>
        <v>0</v>
      </c>
      <c r="ES75" s="3">
        <f t="shared" si="63"/>
        <v>0</v>
      </c>
      <c r="ET75" s="3">
        <f t="shared" si="63"/>
        <v>0</v>
      </c>
      <c r="EU75" s="3">
        <f t="shared" si="63"/>
        <v>0</v>
      </c>
      <c r="EV75" s="3">
        <f t="shared" si="63"/>
        <v>0</v>
      </c>
      <c r="EW75" s="3">
        <f t="shared" si="63"/>
        <v>0</v>
      </c>
      <c r="EX75" s="3">
        <f t="shared" si="63"/>
        <v>0</v>
      </c>
      <c r="EY75" s="3">
        <f t="shared" si="63"/>
        <v>0</v>
      </c>
      <c r="EZ75" s="3">
        <f t="shared" si="63"/>
        <v>0</v>
      </c>
      <c r="FA75" s="3">
        <f t="shared" si="63"/>
        <v>0</v>
      </c>
      <c r="FB75" s="3">
        <f t="shared" si="63"/>
        <v>0</v>
      </c>
      <c r="FC75" s="3">
        <f t="shared" si="63"/>
        <v>0</v>
      </c>
      <c r="FD75" s="3">
        <f t="shared" si="63"/>
        <v>0</v>
      </c>
      <c r="FE75" s="3">
        <f t="shared" si="63"/>
        <v>0</v>
      </c>
      <c r="FF75" s="3">
        <f t="shared" si="63"/>
        <v>0</v>
      </c>
      <c r="FG75" s="3">
        <f t="shared" si="63"/>
        <v>0</v>
      </c>
      <c r="FH75" s="3">
        <f t="shared" si="63"/>
        <v>0</v>
      </c>
      <c r="FI75" s="3">
        <f t="shared" si="63"/>
        <v>0</v>
      </c>
      <c r="FJ75" s="3">
        <f t="shared" si="63"/>
        <v>0</v>
      </c>
      <c r="FK75" s="3">
        <f t="shared" si="63"/>
        <v>0</v>
      </c>
      <c r="FL75" s="3">
        <f t="shared" si="63"/>
        <v>0</v>
      </c>
      <c r="FM75" s="3">
        <f t="shared" si="63"/>
        <v>0</v>
      </c>
      <c r="FN75" s="3">
        <f t="shared" si="63"/>
        <v>0</v>
      </c>
      <c r="FO75" s="3">
        <f t="shared" si="63"/>
        <v>0</v>
      </c>
      <c r="FP75" s="3">
        <f t="shared" si="63"/>
        <v>0</v>
      </c>
      <c r="FQ75" s="3">
        <f t="shared" si="63"/>
        <v>0</v>
      </c>
      <c r="FR75" s="3">
        <f t="shared" si="63"/>
        <v>0</v>
      </c>
      <c r="FS75" s="3">
        <f t="shared" ref="FS75:GX75" si="64">FS92</f>
        <v>0</v>
      </c>
      <c r="FT75" s="3">
        <f t="shared" si="64"/>
        <v>0</v>
      </c>
      <c r="FU75" s="3">
        <f t="shared" si="64"/>
        <v>0</v>
      </c>
      <c r="FV75" s="3">
        <f t="shared" si="64"/>
        <v>0</v>
      </c>
      <c r="FW75" s="3">
        <f t="shared" si="64"/>
        <v>0</v>
      </c>
      <c r="FX75" s="3">
        <f t="shared" si="64"/>
        <v>0</v>
      </c>
      <c r="FY75" s="3">
        <f t="shared" si="64"/>
        <v>0</v>
      </c>
      <c r="FZ75" s="3">
        <f t="shared" si="64"/>
        <v>0</v>
      </c>
      <c r="GA75" s="3">
        <f t="shared" si="64"/>
        <v>0</v>
      </c>
      <c r="GB75" s="3">
        <f t="shared" si="64"/>
        <v>0</v>
      </c>
      <c r="GC75" s="3">
        <f t="shared" si="64"/>
        <v>0</v>
      </c>
      <c r="GD75" s="3">
        <f t="shared" si="64"/>
        <v>0</v>
      </c>
      <c r="GE75" s="3">
        <f t="shared" si="64"/>
        <v>0</v>
      </c>
      <c r="GF75" s="3">
        <f t="shared" si="64"/>
        <v>0</v>
      </c>
      <c r="GG75" s="3">
        <f t="shared" si="64"/>
        <v>0</v>
      </c>
      <c r="GH75" s="3">
        <f t="shared" si="64"/>
        <v>0</v>
      </c>
      <c r="GI75" s="3">
        <f t="shared" si="64"/>
        <v>0</v>
      </c>
      <c r="GJ75" s="3">
        <f t="shared" si="64"/>
        <v>0</v>
      </c>
      <c r="GK75" s="3">
        <f t="shared" si="64"/>
        <v>0</v>
      </c>
      <c r="GL75" s="3">
        <f t="shared" si="64"/>
        <v>0</v>
      </c>
      <c r="GM75" s="3">
        <f t="shared" si="64"/>
        <v>0</v>
      </c>
      <c r="GN75" s="3">
        <f t="shared" si="64"/>
        <v>0</v>
      </c>
      <c r="GO75" s="3">
        <f t="shared" si="64"/>
        <v>0</v>
      </c>
      <c r="GP75" s="3">
        <f t="shared" si="64"/>
        <v>0</v>
      </c>
      <c r="GQ75" s="3">
        <f t="shared" si="64"/>
        <v>0</v>
      </c>
      <c r="GR75" s="3">
        <f t="shared" si="64"/>
        <v>0</v>
      </c>
      <c r="GS75" s="3">
        <f t="shared" si="64"/>
        <v>0</v>
      </c>
      <c r="GT75" s="3">
        <f t="shared" si="64"/>
        <v>0</v>
      </c>
      <c r="GU75" s="3">
        <f t="shared" si="64"/>
        <v>0</v>
      </c>
      <c r="GV75" s="3">
        <f t="shared" si="64"/>
        <v>0</v>
      </c>
      <c r="GW75" s="3">
        <f t="shared" si="64"/>
        <v>0</v>
      </c>
      <c r="GX75" s="3">
        <f t="shared" si="64"/>
        <v>0</v>
      </c>
    </row>
    <row r="77" spans="1:245" x14ac:dyDescent="0.2">
      <c r="A77">
        <v>17</v>
      </c>
      <c r="B77">
        <v>1</v>
      </c>
      <c r="C77">
        <f>ROW(SmtRes!A41)</f>
        <v>41</v>
      </c>
      <c r="D77">
        <f>ROW(EtalonRes!A37)</f>
        <v>37</v>
      </c>
      <c r="E77" t="s">
        <v>183</v>
      </c>
      <c r="F77" t="s">
        <v>184</v>
      </c>
      <c r="G77" t="s">
        <v>185</v>
      </c>
      <c r="H77" t="s">
        <v>186</v>
      </c>
      <c r="I77">
        <f>ROUND(958/100,9)</f>
        <v>9.58</v>
      </c>
      <c r="J77">
        <v>0</v>
      </c>
      <c r="O77">
        <f t="shared" ref="O77:O90" si="65">ROUND(CP77,2)</f>
        <v>66304.19</v>
      </c>
      <c r="P77">
        <f t="shared" ref="P77:P90" si="66">ROUND(CQ77*I77,2)</f>
        <v>293.54000000000002</v>
      </c>
      <c r="Q77">
        <f t="shared" ref="Q77:Q90" si="67">ROUND(CR77*I77,2)</f>
        <v>45752.6</v>
      </c>
      <c r="R77">
        <f t="shared" ref="R77:R90" si="68">ROUND(CS77*I77,2)</f>
        <v>0</v>
      </c>
      <c r="S77">
        <f t="shared" ref="S77:S90" si="69">ROUND(CT77*I77,2)</f>
        <v>20258.05</v>
      </c>
      <c r="T77">
        <f t="shared" ref="T77:T90" si="70">ROUND(CU77*I77,2)</f>
        <v>0</v>
      </c>
      <c r="U77">
        <f t="shared" ref="U77:U90" si="71">CV77*I77</f>
        <v>70.068119999999993</v>
      </c>
      <c r="V77">
        <f t="shared" ref="V77:V90" si="72">CW77*I77</f>
        <v>0</v>
      </c>
      <c r="W77">
        <f t="shared" ref="W77:W90" si="73">ROUND(CX77*I77,2)</f>
        <v>0</v>
      </c>
      <c r="X77">
        <f t="shared" ref="X77:X90" si="74">ROUND(CY77,2)</f>
        <v>19245.150000000001</v>
      </c>
      <c r="Y77">
        <f t="shared" ref="Y77:Y90" si="75">ROUND(CZ77,2)</f>
        <v>13167.73</v>
      </c>
      <c r="AA77">
        <v>48276314</v>
      </c>
      <c r="AB77">
        <f t="shared" ref="AB77:AB90" si="76">ROUND((AC77+AD77+AF77),2)</f>
        <v>540.53</v>
      </c>
      <c r="AC77">
        <f t="shared" ref="AC77:AC90" si="77">ROUND((ES77),2)</f>
        <v>1.02</v>
      </c>
      <c r="AD77">
        <f>ROUND((((((ET77*1.2)*1.15))-(((EU77*1.2)*1.15)))+AE77),2)</f>
        <v>469.14</v>
      </c>
      <c r="AE77">
        <f>ROUND((((EU77*1.2)*1.15)),2)</f>
        <v>0</v>
      </c>
      <c r="AF77">
        <f>ROUND((((EV77*1.2)*1.15)),2)</f>
        <v>70.37</v>
      </c>
      <c r="AG77">
        <f t="shared" ref="AG77:AG90" si="78">ROUND((AP77),2)</f>
        <v>0</v>
      </c>
      <c r="AH77">
        <f>(((EW77*1.2)*1.15))</f>
        <v>7.3139999999999992</v>
      </c>
      <c r="AI77">
        <f>(((EX77*1.2)*1.15))</f>
        <v>0</v>
      </c>
      <c r="AJ77">
        <f t="shared" ref="AJ77:AJ90" si="79">(AS77)</f>
        <v>0</v>
      </c>
      <c r="AK77">
        <v>391.97</v>
      </c>
      <c r="AL77">
        <v>1.02</v>
      </c>
      <c r="AM77">
        <v>339.96</v>
      </c>
      <c r="AN77">
        <v>0</v>
      </c>
      <c r="AO77">
        <v>50.99</v>
      </c>
      <c r="AP77">
        <v>0</v>
      </c>
      <c r="AQ77">
        <v>5.3</v>
      </c>
      <c r="AR77">
        <v>0</v>
      </c>
      <c r="AS77">
        <v>0</v>
      </c>
      <c r="AT77">
        <v>95</v>
      </c>
      <c r="AU77">
        <v>65</v>
      </c>
      <c r="AV77">
        <v>1</v>
      </c>
      <c r="AW77">
        <v>1</v>
      </c>
      <c r="AZ77">
        <v>1</v>
      </c>
      <c r="BA77">
        <v>30.05</v>
      </c>
      <c r="BB77">
        <v>10.18</v>
      </c>
      <c r="BC77">
        <v>30.04</v>
      </c>
      <c r="BD77" t="s">
        <v>6</v>
      </c>
      <c r="BE77" t="s">
        <v>6</v>
      </c>
      <c r="BF77" t="s">
        <v>6</v>
      </c>
      <c r="BG77" t="s">
        <v>6</v>
      </c>
      <c r="BH77">
        <v>0</v>
      </c>
      <c r="BI77">
        <v>2</v>
      </c>
      <c r="BJ77" t="s">
        <v>187</v>
      </c>
      <c r="BM77">
        <v>108001</v>
      </c>
      <c r="BN77">
        <v>0</v>
      </c>
      <c r="BO77" t="s">
        <v>184</v>
      </c>
      <c r="BP77">
        <v>1</v>
      </c>
      <c r="BQ77">
        <v>3</v>
      </c>
      <c r="BR77">
        <v>0</v>
      </c>
      <c r="BS77">
        <v>30.05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95</v>
      </c>
      <c r="CA77">
        <v>65</v>
      </c>
      <c r="CE77">
        <v>0</v>
      </c>
      <c r="CF77">
        <v>0</v>
      </c>
      <c r="CG77">
        <v>0</v>
      </c>
      <c r="CM77">
        <v>0</v>
      </c>
      <c r="CN77" t="s">
        <v>490</v>
      </c>
      <c r="CO77">
        <v>0</v>
      </c>
      <c r="CP77">
        <f t="shared" ref="CP77:CP90" si="80">(P77+Q77+S77)</f>
        <v>66304.19</v>
      </c>
      <c r="CQ77">
        <f t="shared" ref="CQ77:CQ90" si="81">AC77*BC77</f>
        <v>30.640799999999999</v>
      </c>
      <c r="CR77">
        <f t="shared" ref="CR77:CR90" si="82">AD77*BB77</f>
        <v>4775.8451999999997</v>
      </c>
      <c r="CS77">
        <f t="shared" ref="CS77:CS90" si="83">AE77*BS77</f>
        <v>0</v>
      </c>
      <c r="CT77">
        <f t="shared" ref="CT77:CT90" si="84">AF77*BA77</f>
        <v>2114.6185</v>
      </c>
      <c r="CU77">
        <f t="shared" ref="CU77:CU90" si="85">AG77</f>
        <v>0</v>
      </c>
      <c r="CV77">
        <f t="shared" ref="CV77:CV90" si="86">AH77</f>
        <v>7.3139999999999992</v>
      </c>
      <c r="CW77">
        <f t="shared" ref="CW77:CW90" si="87">AI77</f>
        <v>0</v>
      </c>
      <c r="CX77">
        <f t="shared" ref="CX77:CX90" si="88">AJ77</f>
        <v>0</v>
      </c>
      <c r="CY77">
        <f t="shared" ref="CY77:CY90" si="89">(((S77+R77)*AT77)/100)</f>
        <v>19245.147499999999</v>
      </c>
      <c r="CZ77">
        <f t="shared" ref="CZ77:CZ90" si="90">(((S77+R77)*AU77)/100)</f>
        <v>13167.7325</v>
      </c>
      <c r="DC77" t="s">
        <v>6</v>
      </c>
      <c r="DD77" t="s">
        <v>6</v>
      </c>
      <c r="DE77" t="s">
        <v>49</v>
      </c>
      <c r="DF77" t="s">
        <v>49</v>
      </c>
      <c r="DG77" t="s">
        <v>49</v>
      </c>
      <c r="DH77" t="s">
        <v>6</v>
      </c>
      <c r="DI77" t="s">
        <v>49</v>
      </c>
      <c r="DJ77" t="s">
        <v>49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186</v>
      </c>
      <c r="DW77" t="s">
        <v>186</v>
      </c>
      <c r="DX77">
        <v>1</v>
      </c>
      <c r="EE77">
        <v>39495400</v>
      </c>
      <c r="EF77">
        <v>3</v>
      </c>
      <c r="EG77" t="s">
        <v>75</v>
      </c>
      <c r="EH77">
        <v>0</v>
      </c>
      <c r="EI77" t="s">
        <v>6</v>
      </c>
      <c r="EJ77">
        <v>2</v>
      </c>
      <c r="EK77">
        <v>108001</v>
      </c>
      <c r="EL77" t="s">
        <v>92</v>
      </c>
      <c r="EM77" t="s">
        <v>93</v>
      </c>
      <c r="EO77" t="s">
        <v>53</v>
      </c>
      <c r="EQ77">
        <v>131072</v>
      </c>
      <c r="ER77">
        <v>391.97</v>
      </c>
      <c r="ES77">
        <v>1.02</v>
      </c>
      <c r="ET77">
        <v>339.96</v>
      </c>
      <c r="EU77">
        <v>0</v>
      </c>
      <c r="EV77">
        <v>50.99</v>
      </c>
      <c r="EW77">
        <v>5.3</v>
      </c>
      <c r="EX77">
        <v>0</v>
      </c>
      <c r="EY77">
        <v>0</v>
      </c>
      <c r="FQ77">
        <v>0</v>
      </c>
      <c r="FR77">
        <f t="shared" ref="FR77:FR90" si="91">ROUND(IF(AND(BH77=3,BI77=3),P77,0),2)</f>
        <v>0</v>
      </c>
      <c r="FS77">
        <v>0</v>
      </c>
      <c r="FX77">
        <v>95</v>
      </c>
      <c r="FY77">
        <v>65</v>
      </c>
      <c r="GA77" t="s">
        <v>6</v>
      </c>
      <c r="GD77">
        <v>1</v>
      </c>
      <c r="GF77">
        <v>-1972120442</v>
      </c>
      <c r="GG77">
        <v>2</v>
      </c>
      <c r="GH77">
        <v>1</v>
      </c>
      <c r="GI77">
        <v>2</v>
      </c>
      <c r="GJ77">
        <v>0</v>
      </c>
      <c r="GK77">
        <v>0</v>
      </c>
      <c r="GL77">
        <f t="shared" ref="GL77:GL90" si="92">ROUND(IF(AND(BH77=3,BI77=3,FS77&lt;&gt;0),P77,0),2)</f>
        <v>0</v>
      </c>
      <c r="GM77">
        <f t="shared" ref="GM77:GM90" si="93">ROUND(O77+X77+Y77,2)+GX77</f>
        <v>98717.07</v>
      </c>
      <c r="GN77">
        <f t="shared" ref="GN77:GN90" si="94">IF(OR(BI77=0,BI77=1),ROUND(O77+X77+Y77,2),0)</f>
        <v>0</v>
      </c>
      <c r="GO77">
        <f t="shared" ref="GO77:GO90" si="95">IF(BI77=2,ROUND(O77+X77+Y77,2),0)</f>
        <v>98717.07</v>
      </c>
      <c r="GP77">
        <f t="shared" ref="GP77:GP90" si="96">IF(BI77=4,ROUND(O77+X77+Y77,2)+GX77,0)</f>
        <v>0</v>
      </c>
      <c r="GR77">
        <v>0</v>
      </c>
      <c r="GS77">
        <v>3</v>
      </c>
      <c r="GT77">
        <v>0</v>
      </c>
      <c r="GU77" t="s">
        <v>6</v>
      </c>
      <c r="GV77">
        <f t="shared" ref="GV77:GV90" si="97">ROUND((GT77),2)</f>
        <v>0</v>
      </c>
      <c r="GW77">
        <v>1</v>
      </c>
      <c r="GX77">
        <f t="shared" ref="GX77:GX90" si="98">ROUND(HC77*I77,2)</f>
        <v>0</v>
      </c>
      <c r="HA77">
        <v>0</v>
      </c>
      <c r="HB77">
        <v>0</v>
      </c>
      <c r="HC77">
        <f t="shared" ref="HC77:HC90" si="99">GV77*GW77</f>
        <v>0</v>
      </c>
      <c r="IK77">
        <v>0</v>
      </c>
    </row>
    <row r="78" spans="1:245" x14ac:dyDescent="0.2">
      <c r="A78">
        <v>18</v>
      </c>
      <c r="B78">
        <v>1</v>
      </c>
      <c r="C78">
        <v>40</v>
      </c>
      <c r="E78" t="s">
        <v>188</v>
      </c>
      <c r="F78" t="s">
        <v>189</v>
      </c>
      <c r="G78" t="s">
        <v>190</v>
      </c>
      <c r="H78" t="s">
        <v>191</v>
      </c>
      <c r="I78">
        <f>I77*J78</f>
        <v>114.96000000000001</v>
      </c>
      <c r="J78">
        <v>12</v>
      </c>
      <c r="O78">
        <f t="shared" si="65"/>
        <v>63272.79</v>
      </c>
      <c r="P78">
        <f t="shared" si="66"/>
        <v>63272.79</v>
      </c>
      <c r="Q78">
        <f t="shared" si="67"/>
        <v>0</v>
      </c>
      <c r="R78">
        <f t="shared" si="68"/>
        <v>0</v>
      </c>
      <c r="S78">
        <f t="shared" si="69"/>
        <v>0</v>
      </c>
      <c r="T78">
        <f t="shared" si="70"/>
        <v>0</v>
      </c>
      <c r="U78">
        <f t="shared" si="71"/>
        <v>0</v>
      </c>
      <c r="V78">
        <f t="shared" si="72"/>
        <v>0</v>
      </c>
      <c r="W78">
        <f t="shared" si="73"/>
        <v>3326.94</v>
      </c>
      <c r="X78">
        <f t="shared" si="74"/>
        <v>0</v>
      </c>
      <c r="Y78">
        <f t="shared" si="75"/>
        <v>0</v>
      </c>
      <c r="AA78">
        <v>48276314</v>
      </c>
      <c r="AB78">
        <f t="shared" si="76"/>
        <v>55.26</v>
      </c>
      <c r="AC78">
        <f t="shared" si="77"/>
        <v>55.26</v>
      </c>
      <c r="AD78">
        <f>ROUND((((ET78)-(EU78))+AE78),2)</f>
        <v>0</v>
      </c>
      <c r="AE78">
        <f>ROUND((EU78),2)</f>
        <v>0</v>
      </c>
      <c r="AF78">
        <f>ROUND((EV78),2)</f>
        <v>0</v>
      </c>
      <c r="AG78">
        <f t="shared" si="78"/>
        <v>0</v>
      </c>
      <c r="AH78">
        <f>(EW78)</f>
        <v>0</v>
      </c>
      <c r="AI78">
        <f>(EX78)</f>
        <v>0</v>
      </c>
      <c r="AJ78">
        <f t="shared" si="79"/>
        <v>28.94</v>
      </c>
      <c r="AK78">
        <v>55.26</v>
      </c>
      <c r="AL78">
        <v>55.26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28.94</v>
      </c>
      <c r="AT78">
        <v>95</v>
      </c>
      <c r="AU78">
        <v>65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9.9600000000000009</v>
      </c>
      <c r="BD78" t="s">
        <v>6</v>
      </c>
      <c r="BE78" t="s">
        <v>6</v>
      </c>
      <c r="BF78" t="s">
        <v>6</v>
      </c>
      <c r="BG78" t="s">
        <v>6</v>
      </c>
      <c r="BH78">
        <v>3</v>
      </c>
      <c r="BI78">
        <v>2</v>
      </c>
      <c r="BJ78" t="s">
        <v>192</v>
      </c>
      <c r="BM78">
        <v>108001</v>
      </c>
      <c r="BN78">
        <v>0</v>
      </c>
      <c r="BO78" t="s">
        <v>189</v>
      </c>
      <c r="BP78">
        <v>1</v>
      </c>
      <c r="BQ78">
        <v>3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6</v>
      </c>
      <c r="BZ78">
        <v>95</v>
      </c>
      <c r="CA78">
        <v>65</v>
      </c>
      <c r="CE78">
        <v>0</v>
      </c>
      <c r="CF78">
        <v>0</v>
      </c>
      <c r="CG78">
        <v>0</v>
      </c>
      <c r="CM78">
        <v>0</v>
      </c>
      <c r="CN78" t="s">
        <v>6</v>
      </c>
      <c r="CO78">
        <v>0</v>
      </c>
      <c r="CP78">
        <f t="shared" si="80"/>
        <v>63272.79</v>
      </c>
      <c r="CQ78">
        <f t="shared" si="81"/>
        <v>550.38959999999997</v>
      </c>
      <c r="CR78">
        <f t="shared" si="82"/>
        <v>0</v>
      </c>
      <c r="CS78">
        <f t="shared" si="83"/>
        <v>0</v>
      </c>
      <c r="CT78">
        <f t="shared" si="84"/>
        <v>0</v>
      </c>
      <c r="CU78">
        <f t="shared" si="85"/>
        <v>0</v>
      </c>
      <c r="CV78">
        <f t="shared" si="86"/>
        <v>0</v>
      </c>
      <c r="CW78">
        <f t="shared" si="87"/>
        <v>0</v>
      </c>
      <c r="CX78">
        <f t="shared" si="88"/>
        <v>28.94</v>
      </c>
      <c r="CY78">
        <f t="shared" si="89"/>
        <v>0</v>
      </c>
      <c r="CZ78">
        <f t="shared" si="90"/>
        <v>0</v>
      </c>
      <c r="DC78" t="s">
        <v>6</v>
      </c>
      <c r="DD78" t="s">
        <v>6</v>
      </c>
      <c r="DE78" t="s">
        <v>6</v>
      </c>
      <c r="DF78" t="s">
        <v>6</v>
      </c>
      <c r="DG78" t="s">
        <v>6</v>
      </c>
      <c r="DH78" t="s">
        <v>6</v>
      </c>
      <c r="DI78" t="s">
        <v>6</v>
      </c>
      <c r="DJ78" t="s">
        <v>6</v>
      </c>
      <c r="DK78" t="s">
        <v>6</v>
      </c>
      <c r="DL78" t="s">
        <v>6</v>
      </c>
      <c r="DM78" t="s">
        <v>6</v>
      </c>
      <c r="DN78">
        <v>0</v>
      </c>
      <c r="DO78">
        <v>0</v>
      </c>
      <c r="DP78">
        <v>1</v>
      </c>
      <c r="DQ78">
        <v>1</v>
      </c>
      <c r="DU78">
        <v>1007</v>
      </c>
      <c r="DV78" t="s">
        <v>191</v>
      </c>
      <c r="DW78" t="s">
        <v>191</v>
      </c>
      <c r="DX78">
        <v>1</v>
      </c>
      <c r="EE78">
        <v>39495400</v>
      </c>
      <c r="EF78">
        <v>3</v>
      </c>
      <c r="EG78" t="s">
        <v>75</v>
      </c>
      <c r="EH78">
        <v>0</v>
      </c>
      <c r="EI78" t="s">
        <v>6</v>
      </c>
      <c r="EJ78">
        <v>2</v>
      </c>
      <c r="EK78">
        <v>108001</v>
      </c>
      <c r="EL78" t="s">
        <v>92</v>
      </c>
      <c r="EM78" t="s">
        <v>93</v>
      </c>
      <c r="EO78" t="s">
        <v>6</v>
      </c>
      <c r="EQ78">
        <v>0</v>
      </c>
      <c r="ER78">
        <v>55.26</v>
      </c>
      <c r="ES78">
        <v>55.26</v>
      </c>
      <c r="ET78">
        <v>0</v>
      </c>
      <c r="EU78">
        <v>0</v>
      </c>
      <c r="EV78">
        <v>0</v>
      </c>
      <c r="EW78">
        <v>0</v>
      </c>
      <c r="EX78">
        <v>0</v>
      </c>
      <c r="FQ78">
        <v>0</v>
      </c>
      <c r="FR78">
        <f t="shared" si="91"/>
        <v>0</v>
      </c>
      <c r="FS78">
        <v>0</v>
      </c>
      <c r="FX78">
        <v>95</v>
      </c>
      <c r="FY78">
        <v>65</v>
      </c>
      <c r="GA78" t="s">
        <v>6</v>
      </c>
      <c r="GD78">
        <v>1</v>
      </c>
      <c r="GF78">
        <v>-1147251145</v>
      </c>
      <c r="GG78">
        <v>2</v>
      </c>
      <c r="GH78">
        <v>1</v>
      </c>
      <c r="GI78">
        <v>2</v>
      </c>
      <c r="GJ78">
        <v>0</v>
      </c>
      <c r="GK78">
        <v>0</v>
      </c>
      <c r="GL78">
        <f t="shared" si="92"/>
        <v>0</v>
      </c>
      <c r="GM78">
        <f t="shared" si="93"/>
        <v>63272.79</v>
      </c>
      <c r="GN78">
        <f t="shared" si="94"/>
        <v>0</v>
      </c>
      <c r="GO78">
        <f t="shared" si="95"/>
        <v>63272.79</v>
      </c>
      <c r="GP78">
        <f t="shared" si="96"/>
        <v>0</v>
      </c>
      <c r="GR78">
        <v>0</v>
      </c>
      <c r="GS78">
        <v>3</v>
      </c>
      <c r="GT78">
        <v>0</v>
      </c>
      <c r="GU78" t="s">
        <v>6</v>
      </c>
      <c r="GV78">
        <f t="shared" si="97"/>
        <v>0</v>
      </c>
      <c r="GW78">
        <v>1</v>
      </c>
      <c r="GX78">
        <f t="shared" si="98"/>
        <v>0</v>
      </c>
      <c r="HA78">
        <v>0</v>
      </c>
      <c r="HB78">
        <v>0</v>
      </c>
      <c r="HC78">
        <f t="shared" si="99"/>
        <v>0</v>
      </c>
      <c r="IK78">
        <v>0</v>
      </c>
    </row>
    <row r="79" spans="1:245" x14ac:dyDescent="0.2">
      <c r="A79">
        <v>17</v>
      </c>
      <c r="B79">
        <v>1</v>
      </c>
      <c r="C79">
        <f>ROW(SmtRes!A53)</f>
        <v>53</v>
      </c>
      <c r="D79">
        <f>ROW(EtalonRes!A49)</f>
        <v>49</v>
      </c>
      <c r="E79" t="s">
        <v>193</v>
      </c>
      <c r="F79" t="s">
        <v>194</v>
      </c>
      <c r="G79" t="s">
        <v>195</v>
      </c>
      <c r="H79" t="s">
        <v>186</v>
      </c>
      <c r="I79">
        <f>ROUND((I77),9)</f>
        <v>9.58</v>
      </c>
      <c r="J79">
        <v>0</v>
      </c>
      <c r="O79">
        <f t="shared" si="65"/>
        <v>109806.47</v>
      </c>
      <c r="P79">
        <f t="shared" si="66"/>
        <v>4898.1899999999996</v>
      </c>
      <c r="Q79">
        <f t="shared" si="67"/>
        <v>38258.53</v>
      </c>
      <c r="R79">
        <f t="shared" si="68"/>
        <v>7078.94</v>
      </c>
      <c r="S79">
        <f t="shared" si="69"/>
        <v>66649.75</v>
      </c>
      <c r="T79">
        <f t="shared" si="70"/>
        <v>0</v>
      </c>
      <c r="U79">
        <f t="shared" si="71"/>
        <v>230.56377599999999</v>
      </c>
      <c r="V79">
        <f t="shared" si="72"/>
        <v>17.450927999999998</v>
      </c>
      <c r="W79">
        <f t="shared" si="73"/>
        <v>0</v>
      </c>
      <c r="X79">
        <f t="shared" si="74"/>
        <v>70042.259999999995</v>
      </c>
      <c r="Y79">
        <f t="shared" si="75"/>
        <v>47923.65</v>
      </c>
      <c r="AA79">
        <v>48276314</v>
      </c>
      <c r="AB79">
        <f t="shared" si="76"/>
        <v>761.23</v>
      </c>
      <c r="AC79">
        <f t="shared" si="77"/>
        <v>74.86</v>
      </c>
      <c r="AD79">
        <f>ROUND((((((ET79*1.2)*1.15))-(((EU79*1.2)*1.15)))+AE79),2)</f>
        <v>454.85</v>
      </c>
      <c r="AE79">
        <f>ROUND((((EU79*1.2)*1.15)),2)</f>
        <v>24.59</v>
      </c>
      <c r="AF79">
        <f>ROUND((((EV79*1.2)*1.15)),2)</f>
        <v>231.52</v>
      </c>
      <c r="AG79">
        <f t="shared" si="78"/>
        <v>0</v>
      </c>
      <c r="AH79">
        <f>(((EW79*1.2)*1.15))</f>
        <v>24.0672</v>
      </c>
      <c r="AI79">
        <f>(((EX79*1.2)*1.15))</f>
        <v>1.8215999999999999</v>
      </c>
      <c r="AJ79">
        <f t="shared" si="79"/>
        <v>0</v>
      </c>
      <c r="AK79">
        <v>572.23</v>
      </c>
      <c r="AL79">
        <v>74.86</v>
      </c>
      <c r="AM79">
        <v>329.6</v>
      </c>
      <c r="AN79">
        <v>17.82</v>
      </c>
      <c r="AO79">
        <v>167.77</v>
      </c>
      <c r="AP79">
        <v>0</v>
      </c>
      <c r="AQ79">
        <v>17.440000000000001</v>
      </c>
      <c r="AR79">
        <v>1.32</v>
      </c>
      <c r="AS79">
        <v>0</v>
      </c>
      <c r="AT79">
        <v>95</v>
      </c>
      <c r="AU79">
        <v>65</v>
      </c>
      <c r="AV79">
        <v>1</v>
      </c>
      <c r="AW79">
        <v>1</v>
      </c>
      <c r="AZ79">
        <v>1</v>
      </c>
      <c r="BA79">
        <v>30.05</v>
      </c>
      <c r="BB79">
        <v>8.7799999999999994</v>
      </c>
      <c r="BC79">
        <v>6.83</v>
      </c>
      <c r="BD79" t="s">
        <v>6</v>
      </c>
      <c r="BE79" t="s">
        <v>6</v>
      </c>
      <c r="BF79" t="s">
        <v>6</v>
      </c>
      <c r="BG79" t="s">
        <v>6</v>
      </c>
      <c r="BH79">
        <v>0</v>
      </c>
      <c r="BI79">
        <v>2</v>
      </c>
      <c r="BJ79" t="s">
        <v>196</v>
      </c>
      <c r="BM79">
        <v>108001</v>
      </c>
      <c r="BN79">
        <v>0</v>
      </c>
      <c r="BO79" t="s">
        <v>194</v>
      </c>
      <c r="BP79">
        <v>1</v>
      </c>
      <c r="BQ79">
        <v>3</v>
      </c>
      <c r="BR79">
        <v>0</v>
      </c>
      <c r="BS79">
        <v>30.05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95</v>
      </c>
      <c r="CA79">
        <v>65</v>
      </c>
      <c r="CE79">
        <v>0</v>
      </c>
      <c r="CF79">
        <v>0</v>
      </c>
      <c r="CG79">
        <v>0</v>
      </c>
      <c r="CM79">
        <v>0</v>
      </c>
      <c r="CN79" t="s">
        <v>490</v>
      </c>
      <c r="CO79">
        <v>0</v>
      </c>
      <c r="CP79">
        <f t="shared" si="80"/>
        <v>109806.47</v>
      </c>
      <c r="CQ79">
        <f t="shared" si="81"/>
        <v>511.29379999999998</v>
      </c>
      <c r="CR79">
        <f t="shared" si="82"/>
        <v>3993.5830000000001</v>
      </c>
      <c r="CS79">
        <f t="shared" si="83"/>
        <v>738.92949999999996</v>
      </c>
      <c r="CT79">
        <f t="shared" si="84"/>
        <v>6957.1760000000004</v>
      </c>
      <c r="CU79">
        <f t="shared" si="85"/>
        <v>0</v>
      </c>
      <c r="CV79">
        <f t="shared" si="86"/>
        <v>24.0672</v>
      </c>
      <c r="CW79">
        <f t="shared" si="87"/>
        <v>1.8215999999999999</v>
      </c>
      <c r="CX79">
        <f t="shared" si="88"/>
        <v>0</v>
      </c>
      <c r="CY79">
        <f t="shared" si="89"/>
        <v>70042.255499999999</v>
      </c>
      <c r="CZ79">
        <f t="shared" si="90"/>
        <v>47923.648500000003</v>
      </c>
      <c r="DC79" t="s">
        <v>6</v>
      </c>
      <c r="DD79" t="s">
        <v>6</v>
      </c>
      <c r="DE79" t="s">
        <v>49</v>
      </c>
      <c r="DF79" t="s">
        <v>49</v>
      </c>
      <c r="DG79" t="s">
        <v>49</v>
      </c>
      <c r="DH79" t="s">
        <v>6</v>
      </c>
      <c r="DI79" t="s">
        <v>49</v>
      </c>
      <c r="DJ79" t="s">
        <v>49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186</v>
      </c>
      <c r="DW79" t="s">
        <v>186</v>
      </c>
      <c r="DX79">
        <v>1</v>
      </c>
      <c r="EE79">
        <v>39495400</v>
      </c>
      <c r="EF79">
        <v>3</v>
      </c>
      <c r="EG79" t="s">
        <v>75</v>
      </c>
      <c r="EH79">
        <v>0</v>
      </c>
      <c r="EI79" t="s">
        <v>6</v>
      </c>
      <c r="EJ79">
        <v>2</v>
      </c>
      <c r="EK79">
        <v>108001</v>
      </c>
      <c r="EL79" t="s">
        <v>92</v>
      </c>
      <c r="EM79" t="s">
        <v>93</v>
      </c>
      <c r="EO79" t="s">
        <v>53</v>
      </c>
      <c r="EQ79">
        <v>131072</v>
      </c>
      <c r="ER79">
        <v>572.23</v>
      </c>
      <c r="ES79">
        <v>74.86</v>
      </c>
      <c r="ET79">
        <v>329.6</v>
      </c>
      <c r="EU79">
        <v>17.82</v>
      </c>
      <c r="EV79">
        <v>167.77</v>
      </c>
      <c r="EW79">
        <v>17.440000000000001</v>
      </c>
      <c r="EX79">
        <v>1.32</v>
      </c>
      <c r="EY79">
        <v>0</v>
      </c>
      <c r="FQ79">
        <v>0</v>
      </c>
      <c r="FR79">
        <f t="shared" si="91"/>
        <v>0</v>
      </c>
      <c r="FS79">
        <v>0</v>
      </c>
      <c r="FX79">
        <v>95</v>
      </c>
      <c r="FY79">
        <v>65</v>
      </c>
      <c r="GA79" t="s">
        <v>6</v>
      </c>
      <c r="GD79">
        <v>1</v>
      </c>
      <c r="GF79">
        <v>-602531141</v>
      </c>
      <c r="GG79">
        <v>2</v>
      </c>
      <c r="GH79">
        <v>1</v>
      </c>
      <c r="GI79">
        <v>2</v>
      </c>
      <c r="GJ79">
        <v>0</v>
      </c>
      <c r="GK79">
        <v>0</v>
      </c>
      <c r="GL79">
        <f t="shared" si="92"/>
        <v>0</v>
      </c>
      <c r="GM79">
        <f t="shared" si="93"/>
        <v>227772.38</v>
      </c>
      <c r="GN79">
        <f t="shared" si="94"/>
        <v>0</v>
      </c>
      <c r="GO79">
        <f t="shared" si="95"/>
        <v>227772.38</v>
      </c>
      <c r="GP79">
        <f t="shared" si="96"/>
        <v>0</v>
      </c>
      <c r="GR79">
        <v>0</v>
      </c>
      <c r="GS79">
        <v>3</v>
      </c>
      <c r="GT79">
        <v>0</v>
      </c>
      <c r="GU79" t="s">
        <v>6</v>
      </c>
      <c r="GV79">
        <f t="shared" si="97"/>
        <v>0</v>
      </c>
      <c r="GW79">
        <v>1</v>
      </c>
      <c r="GX79">
        <f t="shared" si="98"/>
        <v>0</v>
      </c>
      <c r="HA79">
        <v>0</v>
      </c>
      <c r="HB79">
        <v>0</v>
      </c>
      <c r="HC79">
        <f t="shared" si="99"/>
        <v>0</v>
      </c>
      <c r="IK79">
        <v>0</v>
      </c>
    </row>
    <row r="80" spans="1:245" x14ac:dyDescent="0.2">
      <c r="A80">
        <v>17</v>
      </c>
      <c r="B80">
        <v>1</v>
      </c>
      <c r="C80">
        <f>ROW(SmtRes!A63)</f>
        <v>63</v>
      </c>
      <c r="D80">
        <f>ROW(EtalonRes!A59)</f>
        <v>59</v>
      </c>
      <c r="E80" t="s">
        <v>197</v>
      </c>
      <c r="F80" t="s">
        <v>198</v>
      </c>
      <c r="G80" t="s">
        <v>199</v>
      </c>
      <c r="H80" t="s">
        <v>186</v>
      </c>
      <c r="I80">
        <v>0.7</v>
      </c>
      <c r="J80">
        <v>0</v>
      </c>
      <c r="O80">
        <f t="shared" si="65"/>
        <v>7503.83</v>
      </c>
      <c r="P80">
        <f t="shared" si="66"/>
        <v>285.2</v>
      </c>
      <c r="Q80">
        <f t="shared" si="67"/>
        <v>784.86</v>
      </c>
      <c r="R80">
        <f t="shared" si="68"/>
        <v>78.459999999999994</v>
      </c>
      <c r="S80">
        <f t="shared" si="69"/>
        <v>6433.77</v>
      </c>
      <c r="T80">
        <f t="shared" si="70"/>
        <v>0</v>
      </c>
      <c r="U80">
        <f t="shared" si="71"/>
        <v>22.256639999999997</v>
      </c>
      <c r="V80">
        <f t="shared" si="72"/>
        <v>0.19319999999999996</v>
      </c>
      <c r="W80">
        <f t="shared" si="73"/>
        <v>0</v>
      </c>
      <c r="X80">
        <f t="shared" si="74"/>
        <v>6186.62</v>
      </c>
      <c r="Y80">
        <f t="shared" si="75"/>
        <v>4232.95</v>
      </c>
      <c r="AA80">
        <v>48276314</v>
      </c>
      <c r="AB80">
        <f t="shared" si="76"/>
        <v>473.1</v>
      </c>
      <c r="AC80">
        <f t="shared" si="77"/>
        <v>40.26</v>
      </c>
      <c r="AD80">
        <f>ROUND((((((ET80*1.2)*1.15))-(((EU80*1.2)*1.15)))+AE80),2)</f>
        <v>126.98</v>
      </c>
      <c r="AE80">
        <f>ROUND((((EU80*1.2)*1.15)),2)</f>
        <v>3.73</v>
      </c>
      <c r="AF80">
        <f>ROUND((((EV80*1.2)*1.15)),2)</f>
        <v>305.86</v>
      </c>
      <c r="AG80">
        <f t="shared" si="78"/>
        <v>0</v>
      </c>
      <c r="AH80">
        <f>(((EW80*1.2)*1.15))</f>
        <v>31.795199999999998</v>
      </c>
      <c r="AI80">
        <f>(((EX80*1.2)*1.15))</f>
        <v>0.27599999999999997</v>
      </c>
      <c r="AJ80">
        <f t="shared" si="79"/>
        <v>0</v>
      </c>
      <c r="AK80">
        <v>353.91</v>
      </c>
      <c r="AL80">
        <v>40.26</v>
      </c>
      <c r="AM80">
        <v>92.01</v>
      </c>
      <c r="AN80">
        <v>2.7</v>
      </c>
      <c r="AO80">
        <v>221.64</v>
      </c>
      <c r="AP80">
        <v>0</v>
      </c>
      <c r="AQ80">
        <v>23.04</v>
      </c>
      <c r="AR80">
        <v>0.2</v>
      </c>
      <c r="AS80">
        <v>0</v>
      </c>
      <c r="AT80">
        <v>95</v>
      </c>
      <c r="AU80">
        <v>65</v>
      </c>
      <c r="AV80">
        <v>1</v>
      </c>
      <c r="AW80">
        <v>1</v>
      </c>
      <c r="AZ80">
        <v>1</v>
      </c>
      <c r="BA80">
        <v>30.05</v>
      </c>
      <c r="BB80">
        <v>8.83</v>
      </c>
      <c r="BC80">
        <v>10.119999999999999</v>
      </c>
      <c r="BD80" t="s">
        <v>6</v>
      </c>
      <c r="BE80" t="s">
        <v>6</v>
      </c>
      <c r="BF80" t="s">
        <v>6</v>
      </c>
      <c r="BG80" t="s">
        <v>6</v>
      </c>
      <c r="BH80">
        <v>0</v>
      </c>
      <c r="BI80">
        <v>2</v>
      </c>
      <c r="BJ80" t="s">
        <v>200</v>
      </c>
      <c r="BM80">
        <v>108001</v>
      </c>
      <c r="BN80">
        <v>0</v>
      </c>
      <c r="BO80" t="s">
        <v>198</v>
      </c>
      <c r="BP80">
        <v>1</v>
      </c>
      <c r="BQ80">
        <v>3</v>
      </c>
      <c r="BR80">
        <v>0</v>
      </c>
      <c r="BS80">
        <v>30.05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6</v>
      </c>
      <c r="BZ80">
        <v>95</v>
      </c>
      <c r="CA80">
        <v>65</v>
      </c>
      <c r="CE80">
        <v>0</v>
      </c>
      <c r="CF80">
        <v>0</v>
      </c>
      <c r="CG80">
        <v>0</v>
      </c>
      <c r="CM80">
        <v>0</v>
      </c>
      <c r="CN80" t="s">
        <v>490</v>
      </c>
      <c r="CO80">
        <v>0</v>
      </c>
      <c r="CP80">
        <f t="shared" si="80"/>
        <v>7503.83</v>
      </c>
      <c r="CQ80">
        <f t="shared" si="81"/>
        <v>407.43119999999993</v>
      </c>
      <c r="CR80">
        <f t="shared" si="82"/>
        <v>1121.2334000000001</v>
      </c>
      <c r="CS80">
        <f t="shared" si="83"/>
        <v>112.0865</v>
      </c>
      <c r="CT80">
        <f t="shared" si="84"/>
        <v>9191.0930000000008</v>
      </c>
      <c r="CU80">
        <f t="shared" si="85"/>
        <v>0</v>
      </c>
      <c r="CV80">
        <f t="shared" si="86"/>
        <v>31.795199999999998</v>
      </c>
      <c r="CW80">
        <f t="shared" si="87"/>
        <v>0.27599999999999997</v>
      </c>
      <c r="CX80">
        <f t="shared" si="88"/>
        <v>0</v>
      </c>
      <c r="CY80">
        <f t="shared" si="89"/>
        <v>6186.6185000000005</v>
      </c>
      <c r="CZ80">
        <f t="shared" si="90"/>
        <v>4232.9494999999997</v>
      </c>
      <c r="DC80" t="s">
        <v>6</v>
      </c>
      <c r="DD80" t="s">
        <v>6</v>
      </c>
      <c r="DE80" t="s">
        <v>49</v>
      </c>
      <c r="DF80" t="s">
        <v>49</v>
      </c>
      <c r="DG80" t="s">
        <v>49</v>
      </c>
      <c r="DH80" t="s">
        <v>6</v>
      </c>
      <c r="DI80" t="s">
        <v>49</v>
      </c>
      <c r="DJ80" t="s">
        <v>49</v>
      </c>
      <c r="DK80" t="s">
        <v>6</v>
      </c>
      <c r="DL80" t="s">
        <v>6</v>
      </c>
      <c r="DM80" t="s">
        <v>6</v>
      </c>
      <c r="DN80">
        <v>0</v>
      </c>
      <c r="DO80">
        <v>0</v>
      </c>
      <c r="DP80">
        <v>1</v>
      </c>
      <c r="DQ80">
        <v>1</v>
      </c>
      <c r="DU80">
        <v>1013</v>
      </c>
      <c r="DV80" t="s">
        <v>186</v>
      </c>
      <c r="DW80" t="s">
        <v>186</v>
      </c>
      <c r="DX80">
        <v>1</v>
      </c>
      <c r="EE80">
        <v>39495400</v>
      </c>
      <c r="EF80">
        <v>3</v>
      </c>
      <c r="EG80" t="s">
        <v>75</v>
      </c>
      <c r="EH80">
        <v>0</v>
      </c>
      <c r="EI80" t="s">
        <v>6</v>
      </c>
      <c r="EJ80">
        <v>2</v>
      </c>
      <c r="EK80">
        <v>108001</v>
      </c>
      <c r="EL80" t="s">
        <v>92</v>
      </c>
      <c r="EM80" t="s">
        <v>93</v>
      </c>
      <c r="EO80" t="s">
        <v>53</v>
      </c>
      <c r="EQ80">
        <v>131072</v>
      </c>
      <c r="ER80">
        <v>353.91</v>
      </c>
      <c r="ES80">
        <v>40.26</v>
      </c>
      <c r="ET80">
        <v>92.01</v>
      </c>
      <c r="EU80">
        <v>2.7</v>
      </c>
      <c r="EV80">
        <v>221.64</v>
      </c>
      <c r="EW80">
        <v>23.04</v>
      </c>
      <c r="EX80">
        <v>0.2</v>
      </c>
      <c r="EY80">
        <v>0</v>
      </c>
      <c r="FQ80">
        <v>0</v>
      </c>
      <c r="FR80">
        <f t="shared" si="91"/>
        <v>0</v>
      </c>
      <c r="FS80">
        <v>0</v>
      </c>
      <c r="FX80">
        <v>95</v>
      </c>
      <c r="FY80">
        <v>65</v>
      </c>
      <c r="GA80" t="s">
        <v>6</v>
      </c>
      <c r="GD80">
        <v>1</v>
      </c>
      <c r="GF80">
        <v>1147185959</v>
      </c>
      <c r="GG80">
        <v>2</v>
      </c>
      <c r="GH80">
        <v>1</v>
      </c>
      <c r="GI80">
        <v>2</v>
      </c>
      <c r="GJ80">
        <v>0</v>
      </c>
      <c r="GK80">
        <v>0</v>
      </c>
      <c r="GL80">
        <f t="shared" si="92"/>
        <v>0</v>
      </c>
      <c r="GM80">
        <f t="shared" si="93"/>
        <v>17923.400000000001</v>
      </c>
      <c r="GN80">
        <f t="shared" si="94"/>
        <v>0</v>
      </c>
      <c r="GO80">
        <f t="shared" si="95"/>
        <v>17923.400000000001</v>
      </c>
      <c r="GP80">
        <f t="shared" si="96"/>
        <v>0</v>
      </c>
      <c r="GR80">
        <v>0</v>
      </c>
      <c r="GS80">
        <v>3</v>
      </c>
      <c r="GT80">
        <v>0</v>
      </c>
      <c r="GU80" t="s">
        <v>6</v>
      </c>
      <c r="GV80">
        <f t="shared" si="97"/>
        <v>0</v>
      </c>
      <c r="GW80">
        <v>1</v>
      </c>
      <c r="GX80">
        <f t="shared" si="98"/>
        <v>0</v>
      </c>
      <c r="HA80">
        <v>0</v>
      </c>
      <c r="HB80">
        <v>0</v>
      </c>
      <c r="HC80">
        <f t="shared" si="99"/>
        <v>0</v>
      </c>
      <c r="IK80">
        <v>0</v>
      </c>
    </row>
    <row r="81" spans="1:245" x14ac:dyDescent="0.2">
      <c r="A81">
        <v>17</v>
      </c>
      <c r="B81">
        <v>1</v>
      </c>
      <c r="C81">
        <f>ROW(SmtRes!A74)</f>
        <v>74</v>
      </c>
      <c r="D81">
        <f>ROW(EtalonRes!A70)</f>
        <v>70</v>
      </c>
      <c r="E81" t="s">
        <v>201</v>
      </c>
      <c r="F81" t="s">
        <v>202</v>
      </c>
      <c r="G81" t="s">
        <v>203</v>
      </c>
      <c r="H81" t="s">
        <v>186</v>
      </c>
      <c r="I81">
        <v>0.12</v>
      </c>
      <c r="J81">
        <v>0</v>
      </c>
      <c r="O81">
        <f t="shared" si="65"/>
        <v>2509.6799999999998</v>
      </c>
      <c r="P81">
        <f t="shared" si="66"/>
        <v>79.849999999999994</v>
      </c>
      <c r="Q81">
        <f t="shared" si="67"/>
        <v>1290.8699999999999</v>
      </c>
      <c r="R81">
        <f t="shared" si="68"/>
        <v>500.77</v>
      </c>
      <c r="S81">
        <f t="shared" si="69"/>
        <v>1138.96</v>
      </c>
      <c r="T81">
        <f t="shared" si="70"/>
        <v>0</v>
      </c>
      <c r="U81">
        <f t="shared" si="71"/>
        <v>3.9398399999999998</v>
      </c>
      <c r="V81">
        <f t="shared" si="72"/>
        <v>1.23444</v>
      </c>
      <c r="W81">
        <f t="shared" si="73"/>
        <v>0</v>
      </c>
      <c r="X81">
        <f t="shared" si="74"/>
        <v>1557.74</v>
      </c>
      <c r="Y81">
        <f t="shared" si="75"/>
        <v>1065.82</v>
      </c>
      <c r="AA81">
        <v>48276314</v>
      </c>
      <c r="AB81">
        <f t="shared" si="76"/>
        <v>1942.77</v>
      </c>
      <c r="AC81">
        <f t="shared" si="77"/>
        <v>67.900000000000006</v>
      </c>
      <c r="AD81">
        <f>ROUND(((((ET81*1.35))-((EU81*1.35)))+AE81),2)</f>
        <v>1559.02</v>
      </c>
      <c r="AE81">
        <f>ROUND(((EU81*1.35)),2)</f>
        <v>138.87</v>
      </c>
      <c r="AF81">
        <f>ROUND(((EV81*1.35)),2)</f>
        <v>315.85000000000002</v>
      </c>
      <c r="AG81">
        <f t="shared" si="78"/>
        <v>0</v>
      </c>
      <c r="AH81">
        <f>((EW81*1.35))</f>
        <v>32.832000000000001</v>
      </c>
      <c r="AI81">
        <f>((EX81*1.35))</f>
        <v>10.287000000000001</v>
      </c>
      <c r="AJ81">
        <f t="shared" si="79"/>
        <v>0</v>
      </c>
      <c r="AK81">
        <v>1456.69</v>
      </c>
      <c r="AL81">
        <v>67.900000000000006</v>
      </c>
      <c r="AM81">
        <v>1154.83</v>
      </c>
      <c r="AN81">
        <v>102.87</v>
      </c>
      <c r="AO81">
        <v>233.96</v>
      </c>
      <c r="AP81">
        <v>0</v>
      </c>
      <c r="AQ81">
        <v>24.32</v>
      </c>
      <c r="AR81">
        <v>7.62</v>
      </c>
      <c r="AS81">
        <v>0</v>
      </c>
      <c r="AT81">
        <v>95</v>
      </c>
      <c r="AU81">
        <v>65</v>
      </c>
      <c r="AV81">
        <v>1</v>
      </c>
      <c r="AW81">
        <v>1</v>
      </c>
      <c r="AZ81">
        <v>1</v>
      </c>
      <c r="BA81">
        <v>30.05</v>
      </c>
      <c r="BB81">
        <v>6.9</v>
      </c>
      <c r="BC81">
        <v>9.8000000000000007</v>
      </c>
      <c r="BD81" t="s">
        <v>6</v>
      </c>
      <c r="BE81" t="s">
        <v>6</v>
      </c>
      <c r="BF81" t="s">
        <v>6</v>
      </c>
      <c r="BG81" t="s">
        <v>6</v>
      </c>
      <c r="BH81">
        <v>0</v>
      </c>
      <c r="BI81">
        <v>2</v>
      </c>
      <c r="BJ81" t="s">
        <v>204</v>
      </c>
      <c r="BM81">
        <v>108001</v>
      </c>
      <c r="BN81">
        <v>0</v>
      </c>
      <c r="BO81" t="s">
        <v>202</v>
      </c>
      <c r="BP81">
        <v>1</v>
      </c>
      <c r="BQ81">
        <v>3</v>
      </c>
      <c r="BR81">
        <v>0</v>
      </c>
      <c r="BS81">
        <v>30.05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95</v>
      </c>
      <c r="CA81">
        <v>65</v>
      </c>
      <c r="CE81">
        <v>0</v>
      </c>
      <c r="CF81">
        <v>0</v>
      </c>
      <c r="CG81">
        <v>0</v>
      </c>
      <c r="CM81">
        <v>0</v>
      </c>
      <c r="CN81" t="s">
        <v>492</v>
      </c>
      <c r="CO81">
        <v>0</v>
      </c>
      <c r="CP81">
        <f t="shared" si="80"/>
        <v>2509.6799999999998</v>
      </c>
      <c r="CQ81">
        <f t="shared" si="81"/>
        <v>665.42000000000007</v>
      </c>
      <c r="CR81">
        <f t="shared" si="82"/>
        <v>10757.238000000001</v>
      </c>
      <c r="CS81">
        <f t="shared" si="83"/>
        <v>4173.0435000000007</v>
      </c>
      <c r="CT81">
        <f t="shared" si="84"/>
        <v>9491.2925000000014</v>
      </c>
      <c r="CU81">
        <f t="shared" si="85"/>
        <v>0</v>
      </c>
      <c r="CV81">
        <f t="shared" si="86"/>
        <v>32.832000000000001</v>
      </c>
      <c r="CW81">
        <f t="shared" si="87"/>
        <v>10.287000000000001</v>
      </c>
      <c r="CX81">
        <f t="shared" si="88"/>
        <v>0</v>
      </c>
      <c r="CY81">
        <f t="shared" si="89"/>
        <v>1557.7435</v>
      </c>
      <c r="CZ81">
        <f t="shared" si="90"/>
        <v>1065.8244999999999</v>
      </c>
      <c r="DC81" t="s">
        <v>6</v>
      </c>
      <c r="DD81" t="s">
        <v>6</v>
      </c>
      <c r="DE81" t="s">
        <v>205</v>
      </c>
      <c r="DF81" t="s">
        <v>205</v>
      </c>
      <c r="DG81" t="s">
        <v>205</v>
      </c>
      <c r="DH81" t="s">
        <v>6</v>
      </c>
      <c r="DI81" t="s">
        <v>205</v>
      </c>
      <c r="DJ81" t="s">
        <v>205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186</v>
      </c>
      <c r="DW81" t="s">
        <v>186</v>
      </c>
      <c r="DX81">
        <v>1</v>
      </c>
      <c r="EE81">
        <v>39495400</v>
      </c>
      <c r="EF81">
        <v>3</v>
      </c>
      <c r="EG81" t="s">
        <v>75</v>
      </c>
      <c r="EH81">
        <v>0</v>
      </c>
      <c r="EI81" t="s">
        <v>6</v>
      </c>
      <c r="EJ81">
        <v>2</v>
      </c>
      <c r="EK81">
        <v>108001</v>
      </c>
      <c r="EL81" t="s">
        <v>92</v>
      </c>
      <c r="EM81" t="s">
        <v>93</v>
      </c>
      <c r="EO81" t="s">
        <v>206</v>
      </c>
      <c r="EQ81">
        <v>0</v>
      </c>
      <c r="ER81">
        <v>1456.69</v>
      </c>
      <c r="ES81">
        <v>67.900000000000006</v>
      </c>
      <c r="ET81">
        <v>1154.83</v>
      </c>
      <c r="EU81">
        <v>102.87</v>
      </c>
      <c r="EV81">
        <v>233.96</v>
      </c>
      <c r="EW81">
        <v>24.32</v>
      </c>
      <c r="EX81">
        <v>7.62</v>
      </c>
      <c r="EY81">
        <v>0</v>
      </c>
      <c r="FQ81">
        <v>0</v>
      </c>
      <c r="FR81">
        <f t="shared" si="91"/>
        <v>0</v>
      </c>
      <c r="FS81">
        <v>0</v>
      </c>
      <c r="FX81">
        <v>95</v>
      </c>
      <c r="FY81">
        <v>65</v>
      </c>
      <c r="GA81" t="s">
        <v>6</v>
      </c>
      <c r="GD81">
        <v>1</v>
      </c>
      <c r="GF81">
        <v>927754051</v>
      </c>
      <c r="GG81">
        <v>2</v>
      </c>
      <c r="GH81">
        <v>1</v>
      </c>
      <c r="GI81">
        <v>2</v>
      </c>
      <c r="GJ81">
        <v>0</v>
      </c>
      <c r="GK81">
        <v>0</v>
      </c>
      <c r="GL81">
        <f t="shared" si="92"/>
        <v>0</v>
      </c>
      <c r="GM81">
        <f t="shared" si="93"/>
        <v>5133.24</v>
      </c>
      <c r="GN81">
        <f t="shared" si="94"/>
        <v>0</v>
      </c>
      <c r="GO81">
        <f t="shared" si="95"/>
        <v>5133.24</v>
      </c>
      <c r="GP81">
        <f t="shared" si="96"/>
        <v>0</v>
      </c>
      <c r="GR81">
        <v>0</v>
      </c>
      <c r="GS81">
        <v>3</v>
      </c>
      <c r="GT81">
        <v>0</v>
      </c>
      <c r="GU81" t="s">
        <v>6</v>
      </c>
      <c r="GV81">
        <f t="shared" si="97"/>
        <v>0</v>
      </c>
      <c r="GW81">
        <v>1</v>
      </c>
      <c r="GX81">
        <f t="shared" si="98"/>
        <v>0</v>
      </c>
      <c r="HA81">
        <v>0</v>
      </c>
      <c r="HB81">
        <v>0</v>
      </c>
      <c r="HC81">
        <f t="shared" si="99"/>
        <v>0</v>
      </c>
      <c r="IK81">
        <v>0</v>
      </c>
    </row>
    <row r="82" spans="1:245" x14ac:dyDescent="0.2">
      <c r="A82">
        <v>17</v>
      </c>
      <c r="B82">
        <v>1</v>
      </c>
      <c r="C82">
        <f>ROW(SmtRes!A83)</f>
        <v>83</v>
      </c>
      <c r="D82">
        <f>ROW(EtalonRes!A78)</f>
        <v>78</v>
      </c>
      <c r="E82" t="s">
        <v>207</v>
      </c>
      <c r="F82" t="s">
        <v>208</v>
      </c>
      <c r="G82" t="s">
        <v>209</v>
      </c>
      <c r="H82" t="s">
        <v>210</v>
      </c>
      <c r="I82">
        <v>75.5</v>
      </c>
      <c r="J82">
        <v>0</v>
      </c>
      <c r="O82">
        <f t="shared" si="65"/>
        <v>13310.45</v>
      </c>
      <c r="P82">
        <f t="shared" si="66"/>
        <v>8350.67</v>
      </c>
      <c r="Q82">
        <f t="shared" si="67"/>
        <v>81.91</v>
      </c>
      <c r="R82">
        <f t="shared" si="68"/>
        <v>0</v>
      </c>
      <c r="S82">
        <f t="shared" si="69"/>
        <v>4877.87</v>
      </c>
      <c r="T82">
        <f t="shared" si="70"/>
        <v>0</v>
      </c>
      <c r="U82">
        <f t="shared" si="71"/>
        <v>17.712299999999999</v>
      </c>
      <c r="V82">
        <f t="shared" si="72"/>
        <v>0</v>
      </c>
      <c r="W82">
        <f t="shared" si="73"/>
        <v>0</v>
      </c>
      <c r="X82">
        <f t="shared" si="74"/>
        <v>4633.9799999999996</v>
      </c>
      <c r="Y82">
        <f t="shared" si="75"/>
        <v>3170.62</v>
      </c>
      <c r="AA82">
        <v>48276314</v>
      </c>
      <c r="AB82">
        <f t="shared" si="76"/>
        <v>8.85</v>
      </c>
      <c r="AC82">
        <f t="shared" si="77"/>
        <v>6.51</v>
      </c>
      <c r="AD82">
        <f>ROUND((((((ET82*1.2)*1.15))-(((EU82*1.2)*1.15)))+AE82),2)</f>
        <v>0.19</v>
      </c>
      <c r="AE82">
        <f>ROUND((((EU82*1.2)*1.15)),2)</f>
        <v>0</v>
      </c>
      <c r="AF82">
        <f>ROUND((((EV82*1.2)*1.15)),2)</f>
        <v>2.15</v>
      </c>
      <c r="AG82">
        <f t="shared" si="78"/>
        <v>0</v>
      </c>
      <c r="AH82">
        <f>(((EW82*1.2)*1.15))</f>
        <v>0.2346</v>
      </c>
      <c r="AI82">
        <f>(((EX82*1.2)*1.15))</f>
        <v>0</v>
      </c>
      <c r="AJ82">
        <f t="shared" si="79"/>
        <v>0</v>
      </c>
      <c r="AK82">
        <v>8.2100000000000009</v>
      </c>
      <c r="AL82">
        <v>6.51</v>
      </c>
      <c r="AM82">
        <v>0.14000000000000001</v>
      </c>
      <c r="AN82">
        <v>0</v>
      </c>
      <c r="AO82">
        <v>1.56</v>
      </c>
      <c r="AP82">
        <v>0</v>
      </c>
      <c r="AQ82">
        <v>0.17</v>
      </c>
      <c r="AR82">
        <v>0</v>
      </c>
      <c r="AS82">
        <v>0</v>
      </c>
      <c r="AT82">
        <v>95</v>
      </c>
      <c r="AU82">
        <v>65</v>
      </c>
      <c r="AV82">
        <v>1</v>
      </c>
      <c r="AW82">
        <v>1</v>
      </c>
      <c r="AZ82">
        <v>1</v>
      </c>
      <c r="BA82">
        <v>30.05</v>
      </c>
      <c r="BB82">
        <v>5.71</v>
      </c>
      <c r="BC82">
        <v>16.989999999999998</v>
      </c>
      <c r="BD82" t="s">
        <v>6</v>
      </c>
      <c r="BE82" t="s">
        <v>6</v>
      </c>
      <c r="BF82" t="s">
        <v>6</v>
      </c>
      <c r="BG82" t="s">
        <v>6</v>
      </c>
      <c r="BH82">
        <v>0</v>
      </c>
      <c r="BI82">
        <v>2</v>
      </c>
      <c r="BJ82" t="s">
        <v>211</v>
      </c>
      <c r="BM82">
        <v>108001</v>
      </c>
      <c r="BN82">
        <v>0</v>
      </c>
      <c r="BO82" t="s">
        <v>208</v>
      </c>
      <c r="BP82">
        <v>1</v>
      </c>
      <c r="BQ82">
        <v>3</v>
      </c>
      <c r="BR82">
        <v>0</v>
      </c>
      <c r="BS82">
        <v>30.05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6</v>
      </c>
      <c r="BZ82">
        <v>95</v>
      </c>
      <c r="CA82">
        <v>65</v>
      </c>
      <c r="CE82">
        <v>0</v>
      </c>
      <c r="CF82">
        <v>0</v>
      </c>
      <c r="CG82">
        <v>0</v>
      </c>
      <c r="CM82">
        <v>0</v>
      </c>
      <c r="CN82" t="s">
        <v>490</v>
      </c>
      <c r="CO82">
        <v>0</v>
      </c>
      <c r="CP82">
        <f t="shared" si="80"/>
        <v>13310.45</v>
      </c>
      <c r="CQ82">
        <f t="shared" si="81"/>
        <v>110.60489999999999</v>
      </c>
      <c r="CR82">
        <f t="shared" si="82"/>
        <v>1.0849</v>
      </c>
      <c r="CS82">
        <f t="shared" si="83"/>
        <v>0</v>
      </c>
      <c r="CT82">
        <f t="shared" si="84"/>
        <v>64.607500000000002</v>
      </c>
      <c r="CU82">
        <f t="shared" si="85"/>
        <v>0</v>
      </c>
      <c r="CV82">
        <f t="shared" si="86"/>
        <v>0.2346</v>
      </c>
      <c r="CW82">
        <f t="shared" si="87"/>
        <v>0</v>
      </c>
      <c r="CX82">
        <f t="shared" si="88"/>
        <v>0</v>
      </c>
      <c r="CY82">
        <f t="shared" si="89"/>
        <v>4633.9764999999998</v>
      </c>
      <c r="CZ82">
        <f t="shared" si="90"/>
        <v>3170.6154999999999</v>
      </c>
      <c r="DC82" t="s">
        <v>6</v>
      </c>
      <c r="DD82" t="s">
        <v>6</v>
      </c>
      <c r="DE82" t="s">
        <v>49</v>
      </c>
      <c r="DF82" t="s">
        <v>49</v>
      </c>
      <c r="DG82" t="s">
        <v>49</v>
      </c>
      <c r="DH82" t="s">
        <v>6</v>
      </c>
      <c r="DI82" t="s">
        <v>49</v>
      </c>
      <c r="DJ82" t="s">
        <v>49</v>
      </c>
      <c r="DK82" t="s">
        <v>6</v>
      </c>
      <c r="DL82" t="s">
        <v>6</v>
      </c>
      <c r="DM82" t="s">
        <v>6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210</v>
      </c>
      <c r="DW82" t="s">
        <v>210</v>
      </c>
      <c r="DX82">
        <v>1</v>
      </c>
      <c r="EE82">
        <v>39495400</v>
      </c>
      <c r="EF82">
        <v>3</v>
      </c>
      <c r="EG82" t="s">
        <v>75</v>
      </c>
      <c r="EH82">
        <v>0</v>
      </c>
      <c r="EI82" t="s">
        <v>6</v>
      </c>
      <c r="EJ82">
        <v>2</v>
      </c>
      <c r="EK82">
        <v>108001</v>
      </c>
      <c r="EL82" t="s">
        <v>92</v>
      </c>
      <c r="EM82" t="s">
        <v>93</v>
      </c>
      <c r="EO82" t="s">
        <v>53</v>
      </c>
      <c r="EQ82">
        <v>0</v>
      </c>
      <c r="ER82">
        <v>8.2100000000000009</v>
      </c>
      <c r="ES82">
        <v>6.51</v>
      </c>
      <c r="ET82">
        <v>0.14000000000000001</v>
      </c>
      <c r="EU82">
        <v>0</v>
      </c>
      <c r="EV82">
        <v>1.56</v>
      </c>
      <c r="EW82">
        <v>0.17</v>
      </c>
      <c r="EX82">
        <v>0</v>
      </c>
      <c r="EY82">
        <v>0</v>
      </c>
      <c r="FQ82">
        <v>0</v>
      </c>
      <c r="FR82">
        <f t="shared" si="91"/>
        <v>0</v>
      </c>
      <c r="FS82">
        <v>0</v>
      </c>
      <c r="FX82">
        <v>95</v>
      </c>
      <c r="FY82">
        <v>65</v>
      </c>
      <c r="GA82" t="s">
        <v>6</v>
      </c>
      <c r="GD82">
        <v>1</v>
      </c>
      <c r="GF82">
        <v>749293270</v>
      </c>
      <c r="GG82">
        <v>2</v>
      </c>
      <c r="GH82">
        <v>1</v>
      </c>
      <c r="GI82">
        <v>2</v>
      </c>
      <c r="GJ82">
        <v>0</v>
      </c>
      <c r="GK82">
        <v>0</v>
      </c>
      <c r="GL82">
        <f t="shared" si="92"/>
        <v>0</v>
      </c>
      <c r="GM82">
        <f t="shared" si="93"/>
        <v>21115.05</v>
      </c>
      <c r="GN82">
        <f t="shared" si="94"/>
        <v>0</v>
      </c>
      <c r="GO82">
        <f t="shared" si="95"/>
        <v>21115.05</v>
      </c>
      <c r="GP82">
        <f t="shared" si="96"/>
        <v>0</v>
      </c>
      <c r="GR82">
        <v>0</v>
      </c>
      <c r="GS82">
        <v>3</v>
      </c>
      <c r="GT82">
        <v>0</v>
      </c>
      <c r="GU82" t="s">
        <v>6</v>
      </c>
      <c r="GV82">
        <f t="shared" si="97"/>
        <v>0</v>
      </c>
      <c r="GW82">
        <v>1</v>
      </c>
      <c r="GX82">
        <f t="shared" si="98"/>
        <v>0</v>
      </c>
      <c r="HA82">
        <v>0</v>
      </c>
      <c r="HB82">
        <v>0</v>
      </c>
      <c r="HC82">
        <f t="shared" si="99"/>
        <v>0</v>
      </c>
      <c r="IK82">
        <v>0</v>
      </c>
    </row>
    <row r="83" spans="1:245" x14ac:dyDescent="0.2">
      <c r="A83">
        <v>18</v>
      </c>
      <c r="B83">
        <v>1</v>
      </c>
      <c r="C83">
        <v>78</v>
      </c>
      <c r="E83" t="s">
        <v>212</v>
      </c>
      <c r="F83" t="s">
        <v>213</v>
      </c>
      <c r="G83" t="s">
        <v>214</v>
      </c>
      <c r="H83" t="s">
        <v>215</v>
      </c>
      <c r="I83">
        <f>I82*J83</f>
        <v>7.5499999999999998E-2</v>
      </c>
      <c r="J83">
        <v>1E-3</v>
      </c>
      <c r="O83">
        <f t="shared" si="65"/>
        <v>2527.9699999999998</v>
      </c>
      <c r="P83">
        <f t="shared" si="66"/>
        <v>2527.9699999999998</v>
      </c>
      <c r="Q83">
        <f t="shared" si="67"/>
        <v>0</v>
      </c>
      <c r="R83">
        <f t="shared" si="68"/>
        <v>0</v>
      </c>
      <c r="S83">
        <f t="shared" si="69"/>
        <v>0</v>
      </c>
      <c r="T83">
        <f t="shared" si="70"/>
        <v>0</v>
      </c>
      <c r="U83">
        <f t="shared" si="71"/>
        <v>0</v>
      </c>
      <c r="V83">
        <f t="shared" si="72"/>
        <v>0</v>
      </c>
      <c r="W83">
        <f t="shared" si="73"/>
        <v>2.58</v>
      </c>
      <c r="X83">
        <f t="shared" si="74"/>
        <v>0</v>
      </c>
      <c r="Y83">
        <f t="shared" si="75"/>
        <v>0</v>
      </c>
      <c r="AA83">
        <v>48276314</v>
      </c>
      <c r="AB83">
        <f t="shared" si="76"/>
        <v>5763</v>
      </c>
      <c r="AC83">
        <f t="shared" si="77"/>
        <v>5763</v>
      </c>
      <c r="AD83">
        <f>ROUND((((ET83)-(EU83))+AE83),2)</f>
        <v>0</v>
      </c>
      <c r="AE83">
        <f>ROUND((EU83),2)</f>
        <v>0</v>
      </c>
      <c r="AF83">
        <f>ROUND((EV83),2)</f>
        <v>0</v>
      </c>
      <c r="AG83">
        <f t="shared" si="78"/>
        <v>0</v>
      </c>
      <c r="AH83">
        <f>(EW83)</f>
        <v>0</v>
      </c>
      <c r="AI83">
        <f>(EX83)</f>
        <v>0</v>
      </c>
      <c r="AJ83">
        <f t="shared" si="79"/>
        <v>34.17</v>
      </c>
      <c r="AK83">
        <v>5763</v>
      </c>
      <c r="AL83">
        <v>5763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34.17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5.81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216</v>
      </c>
      <c r="BM83">
        <v>500001</v>
      </c>
      <c r="BN83">
        <v>0</v>
      </c>
      <c r="BO83" t="s">
        <v>213</v>
      </c>
      <c r="BP83">
        <v>1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80"/>
        <v>2527.9699999999998</v>
      </c>
      <c r="CQ83">
        <f t="shared" si="81"/>
        <v>33483.03</v>
      </c>
      <c r="CR83">
        <f t="shared" si="82"/>
        <v>0</v>
      </c>
      <c r="CS83">
        <f t="shared" si="83"/>
        <v>0</v>
      </c>
      <c r="CT83">
        <f t="shared" si="84"/>
        <v>0</v>
      </c>
      <c r="CU83">
        <f t="shared" si="85"/>
        <v>0</v>
      </c>
      <c r="CV83">
        <f t="shared" si="86"/>
        <v>0</v>
      </c>
      <c r="CW83">
        <f t="shared" si="87"/>
        <v>0</v>
      </c>
      <c r="CX83">
        <f t="shared" si="88"/>
        <v>34.17</v>
      </c>
      <c r="CY83">
        <f t="shared" si="89"/>
        <v>0</v>
      </c>
      <c r="CZ83">
        <f t="shared" si="90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215</v>
      </c>
      <c r="DW83" t="s">
        <v>215</v>
      </c>
      <c r="DX83">
        <v>1000</v>
      </c>
      <c r="EE83">
        <v>39495450</v>
      </c>
      <c r="EF83">
        <v>8</v>
      </c>
      <c r="EG83" t="s">
        <v>107</v>
      </c>
      <c r="EH83">
        <v>0</v>
      </c>
      <c r="EI83" t="s">
        <v>6</v>
      </c>
      <c r="EJ83">
        <v>1</v>
      </c>
      <c r="EK83">
        <v>500001</v>
      </c>
      <c r="EL83" t="s">
        <v>108</v>
      </c>
      <c r="EM83" t="s">
        <v>109</v>
      </c>
      <c r="EO83" t="s">
        <v>6</v>
      </c>
      <c r="EQ83">
        <v>0</v>
      </c>
      <c r="ER83">
        <v>5763</v>
      </c>
      <c r="ES83">
        <v>5763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91"/>
        <v>0</v>
      </c>
      <c r="FS83">
        <v>0</v>
      </c>
      <c r="FX83">
        <v>0</v>
      </c>
      <c r="FY83">
        <v>0</v>
      </c>
      <c r="GA83" t="s">
        <v>6</v>
      </c>
      <c r="GD83">
        <v>1</v>
      </c>
      <c r="GF83">
        <v>-1845425206</v>
      </c>
      <c r="GG83">
        <v>2</v>
      </c>
      <c r="GH83">
        <v>1</v>
      </c>
      <c r="GI83">
        <v>2</v>
      </c>
      <c r="GJ83">
        <v>0</v>
      </c>
      <c r="GK83">
        <v>0</v>
      </c>
      <c r="GL83">
        <f t="shared" si="92"/>
        <v>0</v>
      </c>
      <c r="GM83">
        <f t="shared" si="93"/>
        <v>2527.9699999999998</v>
      </c>
      <c r="GN83">
        <f t="shared" si="94"/>
        <v>2527.9699999999998</v>
      </c>
      <c r="GO83">
        <f t="shared" si="95"/>
        <v>0</v>
      </c>
      <c r="GP83">
        <f t="shared" si="96"/>
        <v>0</v>
      </c>
      <c r="GR83">
        <v>0</v>
      </c>
      <c r="GS83">
        <v>3</v>
      </c>
      <c r="GT83">
        <v>0</v>
      </c>
      <c r="GU83" t="s">
        <v>6</v>
      </c>
      <c r="GV83">
        <f t="shared" si="97"/>
        <v>0</v>
      </c>
      <c r="GW83">
        <v>1</v>
      </c>
      <c r="GX83">
        <f t="shared" si="98"/>
        <v>0</v>
      </c>
      <c r="HA83">
        <v>0</v>
      </c>
      <c r="HB83">
        <v>0</v>
      </c>
      <c r="HC83">
        <f t="shared" si="99"/>
        <v>0</v>
      </c>
      <c r="IK83">
        <v>0</v>
      </c>
    </row>
    <row r="84" spans="1:245" x14ac:dyDescent="0.2">
      <c r="A84">
        <v>17</v>
      </c>
      <c r="B84">
        <v>1</v>
      </c>
      <c r="C84">
        <f>ROW(SmtRes!A92)</f>
        <v>92</v>
      </c>
      <c r="D84">
        <f>ROW(EtalonRes!A87)</f>
        <v>87</v>
      </c>
      <c r="E84" t="s">
        <v>217</v>
      </c>
      <c r="F84" t="s">
        <v>218</v>
      </c>
      <c r="G84" t="s">
        <v>219</v>
      </c>
      <c r="H84" t="s">
        <v>220</v>
      </c>
      <c r="I84">
        <v>2</v>
      </c>
      <c r="J84">
        <v>0</v>
      </c>
      <c r="O84">
        <f t="shared" si="65"/>
        <v>17683.54</v>
      </c>
      <c r="P84">
        <f t="shared" si="66"/>
        <v>131.72999999999999</v>
      </c>
      <c r="Q84">
        <f t="shared" si="67"/>
        <v>12797.9</v>
      </c>
      <c r="R84">
        <f t="shared" si="68"/>
        <v>5400.59</v>
      </c>
      <c r="S84">
        <f t="shared" si="69"/>
        <v>4753.91</v>
      </c>
      <c r="T84">
        <f t="shared" si="70"/>
        <v>0</v>
      </c>
      <c r="U84">
        <f t="shared" si="71"/>
        <v>16.443000000000001</v>
      </c>
      <c r="V84">
        <f t="shared" si="72"/>
        <v>13.311</v>
      </c>
      <c r="W84">
        <f t="shared" si="73"/>
        <v>0</v>
      </c>
      <c r="X84">
        <f t="shared" si="74"/>
        <v>9646.7800000000007</v>
      </c>
      <c r="Y84">
        <f t="shared" si="75"/>
        <v>6600.43</v>
      </c>
      <c r="AA84">
        <v>48276314</v>
      </c>
      <c r="AB84">
        <f t="shared" si="76"/>
        <v>1033.24</v>
      </c>
      <c r="AC84">
        <f t="shared" si="77"/>
        <v>3.33</v>
      </c>
      <c r="AD84">
        <f>ROUND(((((ET84*1.35))-((EU84*1.35)))+AE84),2)</f>
        <v>950.81</v>
      </c>
      <c r="AE84">
        <f t="shared" ref="AE84:AF86" si="100">ROUND(((EU84*1.35)),2)</f>
        <v>89.86</v>
      </c>
      <c r="AF84">
        <f t="shared" si="100"/>
        <v>79.099999999999994</v>
      </c>
      <c r="AG84">
        <f t="shared" si="78"/>
        <v>0</v>
      </c>
      <c r="AH84">
        <f t="shared" ref="AH84:AI86" si="101">((EW84*1.35))</f>
        <v>8.2215000000000007</v>
      </c>
      <c r="AI84">
        <f t="shared" si="101"/>
        <v>6.6555</v>
      </c>
      <c r="AJ84">
        <f t="shared" si="79"/>
        <v>0</v>
      </c>
      <c r="AK84">
        <v>766.22</v>
      </c>
      <c r="AL84">
        <v>3.33</v>
      </c>
      <c r="AM84">
        <v>704.3</v>
      </c>
      <c r="AN84">
        <v>66.56</v>
      </c>
      <c r="AO84">
        <v>58.59</v>
      </c>
      <c r="AP84">
        <v>0</v>
      </c>
      <c r="AQ84">
        <v>6.09</v>
      </c>
      <c r="AR84">
        <v>4.93</v>
      </c>
      <c r="AS84">
        <v>0</v>
      </c>
      <c r="AT84">
        <v>95</v>
      </c>
      <c r="AU84">
        <v>65</v>
      </c>
      <c r="AV84">
        <v>1</v>
      </c>
      <c r="AW84">
        <v>1</v>
      </c>
      <c r="AZ84">
        <v>1</v>
      </c>
      <c r="BA84">
        <v>30.05</v>
      </c>
      <c r="BB84">
        <v>6.73</v>
      </c>
      <c r="BC84">
        <v>19.78</v>
      </c>
      <c r="BD84" t="s">
        <v>6</v>
      </c>
      <c r="BE84" t="s">
        <v>6</v>
      </c>
      <c r="BF84" t="s">
        <v>6</v>
      </c>
      <c r="BG84" t="s">
        <v>6</v>
      </c>
      <c r="BH84">
        <v>0</v>
      </c>
      <c r="BI84">
        <v>2</v>
      </c>
      <c r="BJ84" t="s">
        <v>221</v>
      </c>
      <c r="BM84">
        <v>108001</v>
      </c>
      <c r="BN84">
        <v>0</v>
      </c>
      <c r="BO84" t="s">
        <v>218</v>
      </c>
      <c r="BP84">
        <v>1</v>
      </c>
      <c r="BQ84">
        <v>3</v>
      </c>
      <c r="BR84">
        <v>0</v>
      </c>
      <c r="BS84">
        <v>30.05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6</v>
      </c>
      <c r="BZ84">
        <v>95</v>
      </c>
      <c r="CA84">
        <v>65</v>
      </c>
      <c r="CE84">
        <v>0</v>
      </c>
      <c r="CF84">
        <v>0</v>
      </c>
      <c r="CG84">
        <v>0</v>
      </c>
      <c r="CM84">
        <v>0</v>
      </c>
      <c r="CN84" t="s">
        <v>492</v>
      </c>
      <c r="CO84">
        <v>0</v>
      </c>
      <c r="CP84">
        <f t="shared" si="80"/>
        <v>17683.54</v>
      </c>
      <c r="CQ84">
        <f t="shared" si="81"/>
        <v>65.867400000000004</v>
      </c>
      <c r="CR84">
        <f t="shared" si="82"/>
        <v>6398.9512999999997</v>
      </c>
      <c r="CS84">
        <f t="shared" si="83"/>
        <v>2700.2930000000001</v>
      </c>
      <c r="CT84">
        <f t="shared" si="84"/>
        <v>2376.9549999999999</v>
      </c>
      <c r="CU84">
        <f t="shared" si="85"/>
        <v>0</v>
      </c>
      <c r="CV84">
        <f t="shared" si="86"/>
        <v>8.2215000000000007</v>
      </c>
      <c r="CW84">
        <f t="shared" si="87"/>
        <v>6.6555</v>
      </c>
      <c r="CX84">
        <f t="shared" si="88"/>
        <v>0</v>
      </c>
      <c r="CY84">
        <f t="shared" si="89"/>
        <v>9646.7749999999996</v>
      </c>
      <c r="CZ84">
        <f t="shared" si="90"/>
        <v>6600.4250000000002</v>
      </c>
      <c r="DC84" t="s">
        <v>6</v>
      </c>
      <c r="DD84" t="s">
        <v>6</v>
      </c>
      <c r="DE84" t="s">
        <v>205</v>
      </c>
      <c r="DF84" t="s">
        <v>205</v>
      </c>
      <c r="DG84" t="s">
        <v>205</v>
      </c>
      <c r="DH84" t="s">
        <v>6</v>
      </c>
      <c r="DI84" t="s">
        <v>205</v>
      </c>
      <c r="DJ84" t="s">
        <v>205</v>
      </c>
      <c r="DK84" t="s">
        <v>6</v>
      </c>
      <c r="DL84" t="s">
        <v>6</v>
      </c>
      <c r="DM84" t="s">
        <v>6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220</v>
      </c>
      <c r="DW84" t="s">
        <v>220</v>
      </c>
      <c r="DX84">
        <v>1</v>
      </c>
      <c r="EE84">
        <v>39495400</v>
      </c>
      <c r="EF84">
        <v>3</v>
      </c>
      <c r="EG84" t="s">
        <v>75</v>
      </c>
      <c r="EH84">
        <v>0</v>
      </c>
      <c r="EI84" t="s">
        <v>6</v>
      </c>
      <c r="EJ84">
        <v>2</v>
      </c>
      <c r="EK84">
        <v>108001</v>
      </c>
      <c r="EL84" t="s">
        <v>92</v>
      </c>
      <c r="EM84" t="s">
        <v>93</v>
      </c>
      <c r="EO84" t="s">
        <v>206</v>
      </c>
      <c r="EQ84">
        <v>0</v>
      </c>
      <c r="ER84">
        <v>766.22</v>
      </c>
      <c r="ES84">
        <v>3.33</v>
      </c>
      <c r="ET84">
        <v>704.3</v>
      </c>
      <c r="EU84">
        <v>66.56</v>
      </c>
      <c r="EV84">
        <v>58.59</v>
      </c>
      <c r="EW84">
        <v>6.09</v>
      </c>
      <c r="EX84">
        <v>4.93</v>
      </c>
      <c r="EY84">
        <v>0</v>
      </c>
      <c r="FQ84">
        <v>0</v>
      </c>
      <c r="FR84">
        <f t="shared" si="91"/>
        <v>0</v>
      </c>
      <c r="FS84">
        <v>0</v>
      </c>
      <c r="FX84">
        <v>95</v>
      </c>
      <c r="FY84">
        <v>65</v>
      </c>
      <c r="GA84" t="s">
        <v>6</v>
      </c>
      <c r="GD84">
        <v>1</v>
      </c>
      <c r="GF84">
        <v>1648282550</v>
      </c>
      <c r="GG84">
        <v>2</v>
      </c>
      <c r="GH84">
        <v>1</v>
      </c>
      <c r="GI84">
        <v>2</v>
      </c>
      <c r="GJ84">
        <v>0</v>
      </c>
      <c r="GK84">
        <v>0</v>
      </c>
      <c r="GL84">
        <f t="shared" si="92"/>
        <v>0</v>
      </c>
      <c r="GM84">
        <f t="shared" si="93"/>
        <v>33930.75</v>
      </c>
      <c r="GN84">
        <f t="shared" si="94"/>
        <v>0</v>
      </c>
      <c r="GO84">
        <f t="shared" si="95"/>
        <v>33930.75</v>
      </c>
      <c r="GP84">
        <f t="shared" si="96"/>
        <v>0</v>
      </c>
      <c r="GR84">
        <v>0</v>
      </c>
      <c r="GS84">
        <v>3</v>
      </c>
      <c r="GT84">
        <v>0</v>
      </c>
      <c r="GU84" t="s">
        <v>6</v>
      </c>
      <c r="GV84">
        <f t="shared" si="97"/>
        <v>0</v>
      </c>
      <c r="GW84">
        <v>1</v>
      </c>
      <c r="GX84">
        <f t="shared" si="98"/>
        <v>0</v>
      </c>
      <c r="HA84">
        <v>0</v>
      </c>
      <c r="HB84">
        <v>0</v>
      </c>
      <c r="HC84">
        <f t="shared" si="99"/>
        <v>0</v>
      </c>
      <c r="IK84">
        <v>0</v>
      </c>
    </row>
    <row r="85" spans="1:245" x14ac:dyDescent="0.2">
      <c r="A85">
        <v>17</v>
      </c>
      <c r="B85">
        <v>1</v>
      </c>
      <c r="C85">
        <f>ROW(SmtRes!A94)</f>
        <v>94</v>
      </c>
      <c r="D85">
        <f>ROW(EtalonRes!A89)</f>
        <v>89</v>
      </c>
      <c r="E85" t="s">
        <v>222</v>
      </c>
      <c r="F85" t="s">
        <v>223</v>
      </c>
      <c r="G85" t="s">
        <v>224</v>
      </c>
      <c r="H85" t="s">
        <v>225</v>
      </c>
      <c r="I85">
        <v>0.06</v>
      </c>
      <c r="J85">
        <v>0</v>
      </c>
      <c r="O85">
        <f t="shared" si="65"/>
        <v>722.38</v>
      </c>
      <c r="P85">
        <f t="shared" si="66"/>
        <v>10.54</v>
      </c>
      <c r="Q85">
        <f t="shared" si="67"/>
        <v>0</v>
      </c>
      <c r="R85">
        <f t="shared" si="68"/>
        <v>0</v>
      </c>
      <c r="S85">
        <f t="shared" si="69"/>
        <v>711.84</v>
      </c>
      <c r="T85">
        <f t="shared" si="70"/>
        <v>0</v>
      </c>
      <c r="U85">
        <f t="shared" si="71"/>
        <v>2.4623999999999997</v>
      </c>
      <c r="V85">
        <f t="shared" si="72"/>
        <v>0</v>
      </c>
      <c r="W85">
        <f t="shared" si="73"/>
        <v>0</v>
      </c>
      <c r="X85">
        <f t="shared" si="74"/>
        <v>676.25</v>
      </c>
      <c r="Y85">
        <f t="shared" si="75"/>
        <v>462.7</v>
      </c>
      <c r="AA85">
        <v>48276314</v>
      </c>
      <c r="AB85">
        <f t="shared" si="76"/>
        <v>400.66</v>
      </c>
      <c r="AC85">
        <f t="shared" si="77"/>
        <v>5.85</v>
      </c>
      <c r="AD85">
        <f>ROUND(((((ET85*1.35))-((EU85*1.35)))+AE85),2)</f>
        <v>0</v>
      </c>
      <c r="AE85">
        <f t="shared" si="100"/>
        <v>0</v>
      </c>
      <c r="AF85">
        <f t="shared" si="100"/>
        <v>394.81</v>
      </c>
      <c r="AG85">
        <f t="shared" si="78"/>
        <v>0</v>
      </c>
      <c r="AH85">
        <f t="shared" si="101"/>
        <v>41.04</v>
      </c>
      <c r="AI85">
        <f t="shared" si="101"/>
        <v>0</v>
      </c>
      <c r="AJ85">
        <f t="shared" si="79"/>
        <v>0</v>
      </c>
      <c r="AK85">
        <v>298.3</v>
      </c>
      <c r="AL85">
        <v>5.85</v>
      </c>
      <c r="AM85">
        <v>0</v>
      </c>
      <c r="AN85">
        <v>0</v>
      </c>
      <c r="AO85">
        <v>292.45</v>
      </c>
      <c r="AP85">
        <v>0</v>
      </c>
      <c r="AQ85">
        <v>30.4</v>
      </c>
      <c r="AR85">
        <v>0</v>
      </c>
      <c r="AS85">
        <v>0</v>
      </c>
      <c r="AT85">
        <v>95</v>
      </c>
      <c r="AU85">
        <v>65</v>
      </c>
      <c r="AV85">
        <v>1</v>
      </c>
      <c r="AW85">
        <v>1</v>
      </c>
      <c r="AZ85">
        <v>1</v>
      </c>
      <c r="BA85">
        <v>30.05</v>
      </c>
      <c r="BB85">
        <v>1</v>
      </c>
      <c r="BC85">
        <v>30.04</v>
      </c>
      <c r="BD85" t="s">
        <v>6</v>
      </c>
      <c r="BE85" t="s">
        <v>6</v>
      </c>
      <c r="BF85" t="s">
        <v>6</v>
      </c>
      <c r="BG85" t="s">
        <v>6</v>
      </c>
      <c r="BH85">
        <v>0</v>
      </c>
      <c r="BI85">
        <v>2</v>
      </c>
      <c r="BJ85" t="s">
        <v>226</v>
      </c>
      <c r="BM85">
        <v>108001</v>
      </c>
      <c r="BN85">
        <v>0</v>
      </c>
      <c r="BO85" t="s">
        <v>223</v>
      </c>
      <c r="BP85">
        <v>1</v>
      </c>
      <c r="BQ85">
        <v>3</v>
      </c>
      <c r="BR85">
        <v>0</v>
      </c>
      <c r="BS85">
        <v>30.05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95</v>
      </c>
      <c r="CA85">
        <v>65</v>
      </c>
      <c r="CE85">
        <v>0</v>
      </c>
      <c r="CF85">
        <v>0</v>
      </c>
      <c r="CG85">
        <v>0</v>
      </c>
      <c r="CM85">
        <v>0</v>
      </c>
      <c r="CN85" t="s">
        <v>492</v>
      </c>
      <c r="CO85">
        <v>0</v>
      </c>
      <c r="CP85">
        <f t="shared" si="80"/>
        <v>722.38</v>
      </c>
      <c r="CQ85">
        <f t="shared" si="81"/>
        <v>175.73399999999998</v>
      </c>
      <c r="CR85">
        <f t="shared" si="82"/>
        <v>0</v>
      </c>
      <c r="CS85">
        <f t="shared" si="83"/>
        <v>0</v>
      </c>
      <c r="CT85">
        <f t="shared" si="84"/>
        <v>11864.040500000001</v>
      </c>
      <c r="CU85">
        <f t="shared" si="85"/>
        <v>0</v>
      </c>
      <c r="CV85">
        <f t="shared" si="86"/>
        <v>41.04</v>
      </c>
      <c r="CW85">
        <f t="shared" si="87"/>
        <v>0</v>
      </c>
      <c r="CX85">
        <f t="shared" si="88"/>
        <v>0</v>
      </c>
      <c r="CY85">
        <f t="shared" si="89"/>
        <v>676.24800000000005</v>
      </c>
      <c r="CZ85">
        <f t="shared" si="90"/>
        <v>462.69599999999997</v>
      </c>
      <c r="DC85" t="s">
        <v>6</v>
      </c>
      <c r="DD85" t="s">
        <v>6</v>
      </c>
      <c r="DE85" t="s">
        <v>205</v>
      </c>
      <c r="DF85" t="s">
        <v>205</v>
      </c>
      <c r="DG85" t="s">
        <v>205</v>
      </c>
      <c r="DH85" t="s">
        <v>6</v>
      </c>
      <c r="DI85" t="s">
        <v>205</v>
      </c>
      <c r="DJ85" t="s">
        <v>205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225</v>
      </c>
      <c r="DW85" t="s">
        <v>225</v>
      </c>
      <c r="DX85">
        <v>100</v>
      </c>
      <c r="EE85">
        <v>39495400</v>
      </c>
      <c r="EF85">
        <v>3</v>
      </c>
      <c r="EG85" t="s">
        <v>75</v>
      </c>
      <c r="EH85">
        <v>0</v>
      </c>
      <c r="EI85" t="s">
        <v>6</v>
      </c>
      <c r="EJ85">
        <v>2</v>
      </c>
      <c r="EK85">
        <v>108001</v>
      </c>
      <c r="EL85" t="s">
        <v>92</v>
      </c>
      <c r="EM85" t="s">
        <v>93</v>
      </c>
      <c r="EO85" t="s">
        <v>206</v>
      </c>
      <c r="EQ85">
        <v>0</v>
      </c>
      <c r="ER85">
        <v>298.3</v>
      </c>
      <c r="ES85">
        <v>5.85</v>
      </c>
      <c r="ET85">
        <v>0</v>
      </c>
      <c r="EU85">
        <v>0</v>
      </c>
      <c r="EV85">
        <v>292.45</v>
      </c>
      <c r="EW85">
        <v>30.4</v>
      </c>
      <c r="EX85">
        <v>0</v>
      </c>
      <c r="EY85">
        <v>0</v>
      </c>
      <c r="FQ85">
        <v>0</v>
      </c>
      <c r="FR85">
        <f t="shared" si="91"/>
        <v>0</v>
      </c>
      <c r="FS85">
        <v>0</v>
      </c>
      <c r="FX85">
        <v>95</v>
      </c>
      <c r="FY85">
        <v>65</v>
      </c>
      <c r="GA85" t="s">
        <v>6</v>
      </c>
      <c r="GD85">
        <v>1</v>
      </c>
      <c r="GF85">
        <v>32411905</v>
      </c>
      <c r="GG85">
        <v>2</v>
      </c>
      <c r="GH85">
        <v>1</v>
      </c>
      <c r="GI85">
        <v>2</v>
      </c>
      <c r="GJ85">
        <v>0</v>
      </c>
      <c r="GK85">
        <v>0</v>
      </c>
      <c r="GL85">
        <f t="shared" si="92"/>
        <v>0</v>
      </c>
      <c r="GM85">
        <f t="shared" si="93"/>
        <v>1861.33</v>
      </c>
      <c r="GN85">
        <f t="shared" si="94"/>
        <v>0</v>
      </c>
      <c r="GO85">
        <f t="shared" si="95"/>
        <v>1861.33</v>
      </c>
      <c r="GP85">
        <f t="shared" si="96"/>
        <v>0</v>
      </c>
      <c r="GR85">
        <v>0</v>
      </c>
      <c r="GS85">
        <v>0</v>
      </c>
      <c r="GT85">
        <v>0</v>
      </c>
      <c r="GU85" t="s">
        <v>6</v>
      </c>
      <c r="GV85">
        <f t="shared" si="97"/>
        <v>0</v>
      </c>
      <c r="GW85">
        <v>1</v>
      </c>
      <c r="GX85">
        <f t="shared" si="98"/>
        <v>0</v>
      </c>
      <c r="HA85">
        <v>0</v>
      </c>
      <c r="HB85">
        <v>0</v>
      </c>
      <c r="HC85">
        <f t="shared" si="99"/>
        <v>0</v>
      </c>
      <c r="IK85">
        <v>0</v>
      </c>
    </row>
    <row r="86" spans="1:245" x14ac:dyDescent="0.2">
      <c r="A86">
        <v>17</v>
      </c>
      <c r="B86">
        <v>1</v>
      </c>
      <c r="C86">
        <f>ROW(SmtRes!A103)</f>
        <v>103</v>
      </c>
      <c r="D86">
        <f>ROW(EtalonRes!A97)</f>
        <v>97</v>
      </c>
      <c r="E86" t="s">
        <v>227</v>
      </c>
      <c r="F86" t="s">
        <v>228</v>
      </c>
      <c r="G86" t="s">
        <v>229</v>
      </c>
      <c r="H86" t="s">
        <v>90</v>
      </c>
      <c r="I86">
        <v>0.02</v>
      </c>
      <c r="J86">
        <v>0</v>
      </c>
      <c r="O86">
        <f t="shared" si="65"/>
        <v>256.12</v>
      </c>
      <c r="P86">
        <f t="shared" si="66"/>
        <v>6.77</v>
      </c>
      <c r="Q86">
        <f t="shared" si="67"/>
        <v>4.08</v>
      </c>
      <c r="R86">
        <f t="shared" si="68"/>
        <v>0.33</v>
      </c>
      <c r="S86">
        <f t="shared" si="69"/>
        <v>245.27</v>
      </c>
      <c r="T86">
        <f t="shared" si="70"/>
        <v>0</v>
      </c>
      <c r="U86">
        <f t="shared" si="71"/>
        <v>0.86831999999999998</v>
      </c>
      <c r="V86">
        <f t="shared" si="72"/>
        <v>8.1000000000000006E-4</v>
      </c>
      <c r="W86">
        <f t="shared" si="73"/>
        <v>0</v>
      </c>
      <c r="X86">
        <f t="shared" si="74"/>
        <v>233.32</v>
      </c>
      <c r="Y86">
        <f t="shared" si="75"/>
        <v>159.63999999999999</v>
      </c>
      <c r="AA86">
        <v>48276314</v>
      </c>
      <c r="AB86">
        <f t="shared" si="76"/>
        <v>636.84</v>
      </c>
      <c r="AC86">
        <f t="shared" si="77"/>
        <v>186.06</v>
      </c>
      <c r="AD86">
        <f>ROUND(((((ET86*1.35))-((EU86*1.35)))+AE86),2)</f>
        <v>42.67</v>
      </c>
      <c r="AE86">
        <f t="shared" si="100"/>
        <v>0.55000000000000004</v>
      </c>
      <c r="AF86">
        <f t="shared" si="100"/>
        <v>408.11</v>
      </c>
      <c r="AG86">
        <f t="shared" si="78"/>
        <v>0</v>
      </c>
      <c r="AH86">
        <f t="shared" si="101"/>
        <v>43.415999999999997</v>
      </c>
      <c r="AI86">
        <f t="shared" si="101"/>
        <v>4.0500000000000001E-2</v>
      </c>
      <c r="AJ86">
        <f t="shared" si="79"/>
        <v>0</v>
      </c>
      <c r="AK86">
        <v>519.97</v>
      </c>
      <c r="AL86">
        <v>186.06</v>
      </c>
      <c r="AM86">
        <v>31.61</v>
      </c>
      <c r="AN86">
        <v>0.41</v>
      </c>
      <c r="AO86">
        <v>302.3</v>
      </c>
      <c r="AP86">
        <v>0</v>
      </c>
      <c r="AQ86">
        <v>32.159999999999997</v>
      </c>
      <c r="AR86">
        <v>0.03</v>
      </c>
      <c r="AS86">
        <v>0</v>
      </c>
      <c r="AT86">
        <v>95</v>
      </c>
      <c r="AU86">
        <v>65</v>
      </c>
      <c r="AV86">
        <v>1</v>
      </c>
      <c r="AW86">
        <v>1</v>
      </c>
      <c r="AZ86">
        <v>1</v>
      </c>
      <c r="BA86">
        <v>30.05</v>
      </c>
      <c r="BB86">
        <v>4.78</v>
      </c>
      <c r="BC86">
        <v>1.82</v>
      </c>
      <c r="BD86" t="s">
        <v>6</v>
      </c>
      <c r="BE86" t="s">
        <v>6</v>
      </c>
      <c r="BF86" t="s">
        <v>6</v>
      </c>
      <c r="BG86" t="s">
        <v>6</v>
      </c>
      <c r="BH86">
        <v>0</v>
      </c>
      <c r="BI86">
        <v>2</v>
      </c>
      <c r="BJ86" t="s">
        <v>230</v>
      </c>
      <c r="BM86">
        <v>108001</v>
      </c>
      <c r="BN86">
        <v>0</v>
      </c>
      <c r="BO86" t="s">
        <v>228</v>
      </c>
      <c r="BP86">
        <v>1</v>
      </c>
      <c r="BQ86">
        <v>3</v>
      </c>
      <c r="BR86">
        <v>0</v>
      </c>
      <c r="BS86">
        <v>30.05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6</v>
      </c>
      <c r="BZ86">
        <v>95</v>
      </c>
      <c r="CA86">
        <v>65</v>
      </c>
      <c r="CE86">
        <v>0</v>
      </c>
      <c r="CF86">
        <v>0</v>
      </c>
      <c r="CG86">
        <v>0</v>
      </c>
      <c r="CM86">
        <v>0</v>
      </c>
      <c r="CN86" t="s">
        <v>492</v>
      </c>
      <c r="CO86">
        <v>0</v>
      </c>
      <c r="CP86">
        <f t="shared" si="80"/>
        <v>256.12</v>
      </c>
      <c r="CQ86">
        <f t="shared" si="81"/>
        <v>338.62920000000003</v>
      </c>
      <c r="CR86">
        <f t="shared" si="82"/>
        <v>203.96260000000001</v>
      </c>
      <c r="CS86">
        <f t="shared" si="83"/>
        <v>16.527500000000003</v>
      </c>
      <c r="CT86">
        <f t="shared" si="84"/>
        <v>12263.7055</v>
      </c>
      <c r="CU86">
        <f t="shared" si="85"/>
        <v>0</v>
      </c>
      <c r="CV86">
        <f t="shared" si="86"/>
        <v>43.415999999999997</v>
      </c>
      <c r="CW86">
        <f t="shared" si="87"/>
        <v>4.0500000000000001E-2</v>
      </c>
      <c r="CX86">
        <f t="shared" si="88"/>
        <v>0</v>
      </c>
      <c r="CY86">
        <f t="shared" si="89"/>
        <v>233.32000000000005</v>
      </c>
      <c r="CZ86">
        <f t="shared" si="90"/>
        <v>159.64000000000001</v>
      </c>
      <c r="DC86" t="s">
        <v>6</v>
      </c>
      <c r="DD86" t="s">
        <v>6</v>
      </c>
      <c r="DE86" t="s">
        <v>205</v>
      </c>
      <c r="DF86" t="s">
        <v>205</v>
      </c>
      <c r="DG86" t="s">
        <v>205</v>
      </c>
      <c r="DH86" t="s">
        <v>6</v>
      </c>
      <c r="DI86" t="s">
        <v>205</v>
      </c>
      <c r="DJ86" t="s">
        <v>205</v>
      </c>
      <c r="DK86" t="s">
        <v>6</v>
      </c>
      <c r="DL86" t="s">
        <v>6</v>
      </c>
      <c r="DM86" t="s">
        <v>6</v>
      </c>
      <c r="DN86">
        <v>0</v>
      </c>
      <c r="DO86">
        <v>0</v>
      </c>
      <c r="DP86">
        <v>1</v>
      </c>
      <c r="DQ86">
        <v>1</v>
      </c>
      <c r="DU86">
        <v>1003</v>
      </c>
      <c r="DV86" t="s">
        <v>90</v>
      </c>
      <c r="DW86" t="s">
        <v>90</v>
      </c>
      <c r="DX86">
        <v>100</v>
      </c>
      <c r="EE86">
        <v>39495400</v>
      </c>
      <c r="EF86">
        <v>3</v>
      </c>
      <c r="EG86" t="s">
        <v>75</v>
      </c>
      <c r="EH86">
        <v>0</v>
      </c>
      <c r="EI86" t="s">
        <v>6</v>
      </c>
      <c r="EJ86">
        <v>2</v>
      </c>
      <c r="EK86">
        <v>108001</v>
      </c>
      <c r="EL86" t="s">
        <v>92</v>
      </c>
      <c r="EM86" t="s">
        <v>93</v>
      </c>
      <c r="EO86" t="s">
        <v>206</v>
      </c>
      <c r="EQ86">
        <v>0</v>
      </c>
      <c r="ER86">
        <v>519.97</v>
      </c>
      <c r="ES86">
        <v>186.06</v>
      </c>
      <c r="ET86">
        <v>31.61</v>
      </c>
      <c r="EU86">
        <v>0.41</v>
      </c>
      <c r="EV86">
        <v>302.3</v>
      </c>
      <c r="EW86">
        <v>32.159999999999997</v>
      </c>
      <c r="EX86">
        <v>0.03</v>
      </c>
      <c r="EY86">
        <v>0</v>
      </c>
      <c r="FQ86">
        <v>0</v>
      </c>
      <c r="FR86">
        <f t="shared" si="91"/>
        <v>0</v>
      </c>
      <c r="FS86">
        <v>0</v>
      </c>
      <c r="FX86">
        <v>95</v>
      </c>
      <c r="FY86">
        <v>65</v>
      </c>
      <c r="GA86" t="s">
        <v>6</v>
      </c>
      <c r="GD86">
        <v>1</v>
      </c>
      <c r="GF86">
        <v>-1978394595</v>
      </c>
      <c r="GG86">
        <v>2</v>
      </c>
      <c r="GH86">
        <v>1</v>
      </c>
      <c r="GI86">
        <v>2</v>
      </c>
      <c r="GJ86">
        <v>0</v>
      </c>
      <c r="GK86">
        <v>0</v>
      </c>
      <c r="GL86">
        <f t="shared" si="92"/>
        <v>0</v>
      </c>
      <c r="GM86">
        <f t="shared" si="93"/>
        <v>649.08000000000004</v>
      </c>
      <c r="GN86">
        <f t="shared" si="94"/>
        <v>0</v>
      </c>
      <c r="GO86">
        <f t="shared" si="95"/>
        <v>649.08000000000004</v>
      </c>
      <c r="GP86">
        <f t="shared" si="96"/>
        <v>0</v>
      </c>
      <c r="GR86">
        <v>0</v>
      </c>
      <c r="GS86">
        <v>0</v>
      </c>
      <c r="GT86">
        <v>0</v>
      </c>
      <c r="GU86" t="s">
        <v>6</v>
      </c>
      <c r="GV86">
        <f t="shared" si="97"/>
        <v>0</v>
      </c>
      <c r="GW86">
        <v>1</v>
      </c>
      <c r="GX86">
        <f t="shared" si="98"/>
        <v>0</v>
      </c>
      <c r="HA86">
        <v>0</v>
      </c>
      <c r="HB86">
        <v>0</v>
      </c>
      <c r="HC86">
        <f t="shared" si="99"/>
        <v>0</v>
      </c>
      <c r="IK86">
        <v>0</v>
      </c>
    </row>
    <row r="87" spans="1:245" x14ac:dyDescent="0.2">
      <c r="A87">
        <v>18</v>
      </c>
      <c r="B87">
        <v>1</v>
      </c>
      <c r="C87">
        <v>102</v>
      </c>
      <c r="E87" t="s">
        <v>231</v>
      </c>
      <c r="F87" t="s">
        <v>232</v>
      </c>
      <c r="G87" t="s">
        <v>233</v>
      </c>
      <c r="H87" t="s">
        <v>234</v>
      </c>
      <c r="I87">
        <f>I86*J87</f>
        <v>2E-3</v>
      </c>
      <c r="J87">
        <v>0.1</v>
      </c>
      <c r="O87">
        <f t="shared" si="65"/>
        <v>340.17</v>
      </c>
      <c r="P87">
        <f t="shared" si="66"/>
        <v>340.17</v>
      </c>
      <c r="Q87">
        <f t="shared" si="67"/>
        <v>0</v>
      </c>
      <c r="R87">
        <f t="shared" si="68"/>
        <v>0</v>
      </c>
      <c r="S87">
        <f t="shared" si="69"/>
        <v>0</v>
      </c>
      <c r="T87">
        <f t="shared" si="70"/>
        <v>0</v>
      </c>
      <c r="U87">
        <f t="shared" si="71"/>
        <v>0</v>
      </c>
      <c r="V87">
        <f t="shared" si="72"/>
        <v>0</v>
      </c>
      <c r="W87">
        <f t="shared" si="73"/>
        <v>0</v>
      </c>
      <c r="X87">
        <f t="shared" si="74"/>
        <v>0</v>
      </c>
      <c r="Y87">
        <f t="shared" si="75"/>
        <v>0</v>
      </c>
      <c r="AA87">
        <v>48276314</v>
      </c>
      <c r="AB87">
        <f t="shared" si="76"/>
        <v>170083.12</v>
      </c>
      <c r="AC87">
        <f t="shared" si="77"/>
        <v>170083.12</v>
      </c>
      <c r="AD87">
        <f>ROUND((((ET87)-(EU87))+AE87),2)</f>
        <v>0</v>
      </c>
      <c r="AE87">
        <f>ROUND((EU87),2)</f>
        <v>0</v>
      </c>
      <c r="AF87">
        <f>ROUND((EV87),2)</f>
        <v>0</v>
      </c>
      <c r="AG87">
        <f t="shared" si="78"/>
        <v>0</v>
      </c>
      <c r="AH87">
        <f>(EW87)</f>
        <v>0</v>
      </c>
      <c r="AI87">
        <f>(EX87)</f>
        <v>0</v>
      </c>
      <c r="AJ87">
        <f t="shared" si="79"/>
        <v>0</v>
      </c>
      <c r="AK87">
        <v>170083.12</v>
      </c>
      <c r="AL87">
        <v>170083.12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95</v>
      </c>
      <c r="AU87">
        <v>65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2</v>
      </c>
      <c r="BJ87" t="s">
        <v>235</v>
      </c>
      <c r="BM87">
        <v>108001</v>
      </c>
      <c r="BN87">
        <v>0</v>
      </c>
      <c r="BO87" t="s">
        <v>6</v>
      </c>
      <c r="BP87">
        <v>0</v>
      </c>
      <c r="BQ87">
        <v>3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95</v>
      </c>
      <c r="CA87">
        <v>65</v>
      </c>
      <c r="CE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80"/>
        <v>340.17</v>
      </c>
      <c r="CQ87">
        <f t="shared" si="81"/>
        <v>170083.12</v>
      </c>
      <c r="CR87">
        <f t="shared" si="82"/>
        <v>0</v>
      </c>
      <c r="CS87">
        <f t="shared" si="83"/>
        <v>0</v>
      </c>
      <c r="CT87">
        <f t="shared" si="84"/>
        <v>0</v>
      </c>
      <c r="CU87">
        <f t="shared" si="85"/>
        <v>0</v>
      </c>
      <c r="CV87">
        <f t="shared" si="86"/>
        <v>0</v>
      </c>
      <c r="CW87">
        <f t="shared" si="87"/>
        <v>0</v>
      </c>
      <c r="CX87">
        <f t="shared" si="88"/>
        <v>0</v>
      </c>
      <c r="CY87">
        <f t="shared" si="89"/>
        <v>0</v>
      </c>
      <c r="CZ87">
        <f t="shared" si="90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234</v>
      </c>
      <c r="DW87" t="s">
        <v>236</v>
      </c>
      <c r="DX87">
        <v>1</v>
      </c>
      <c r="EE87">
        <v>39495400</v>
      </c>
      <c r="EF87">
        <v>3</v>
      </c>
      <c r="EG87" t="s">
        <v>75</v>
      </c>
      <c r="EH87">
        <v>0</v>
      </c>
      <c r="EI87" t="s">
        <v>6</v>
      </c>
      <c r="EJ87">
        <v>2</v>
      </c>
      <c r="EK87">
        <v>108001</v>
      </c>
      <c r="EL87" t="s">
        <v>92</v>
      </c>
      <c r="EM87" t="s">
        <v>93</v>
      </c>
      <c r="EO87" t="s">
        <v>6</v>
      </c>
      <c r="EQ87">
        <v>0</v>
      </c>
      <c r="ER87">
        <v>170083.12</v>
      </c>
      <c r="ES87">
        <v>170083.12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91"/>
        <v>0</v>
      </c>
      <c r="FS87">
        <v>0</v>
      </c>
      <c r="FX87">
        <v>95</v>
      </c>
      <c r="FY87">
        <v>65</v>
      </c>
      <c r="GA87" t="s">
        <v>6</v>
      </c>
      <c r="GD87">
        <v>1</v>
      </c>
      <c r="GF87">
        <v>1950066811</v>
      </c>
      <c r="GG87">
        <v>2</v>
      </c>
      <c r="GH87">
        <v>1</v>
      </c>
      <c r="GI87">
        <v>-2</v>
      </c>
      <c r="GJ87">
        <v>0</v>
      </c>
      <c r="GK87">
        <v>0</v>
      </c>
      <c r="GL87">
        <f t="shared" si="92"/>
        <v>0</v>
      </c>
      <c r="GM87">
        <f t="shared" si="93"/>
        <v>340.17</v>
      </c>
      <c r="GN87">
        <f t="shared" si="94"/>
        <v>0</v>
      </c>
      <c r="GO87">
        <f t="shared" si="95"/>
        <v>340.17</v>
      </c>
      <c r="GP87">
        <f t="shared" si="96"/>
        <v>0</v>
      </c>
      <c r="GR87">
        <v>0</v>
      </c>
      <c r="GS87">
        <v>0</v>
      </c>
      <c r="GT87">
        <v>0</v>
      </c>
      <c r="GU87" t="s">
        <v>6</v>
      </c>
      <c r="GV87">
        <f t="shared" si="97"/>
        <v>0</v>
      </c>
      <c r="GW87">
        <v>1</v>
      </c>
      <c r="GX87">
        <f t="shared" si="98"/>
        <v>0</v>
      </c>
      <c r="HA87">
        <v>0</v>
      </c>
      <c r="HB87">
        <v>0</v>
      </c>
      <c r="HC87">
        <f t="shared" si="99"/>
        <v>0</v>
      </c>
      <c r="IK87">
        <v>0</v>
      </c>
    </row>
    <row r="88" spans="1:245" x14ac:dyDescent="0.2">
      <c r="A88">
        <v>17</v>
      </c>
      <c r="B88">
        <v>1</v>
      </c>
      <c r="C88">
        <f>ROW(SmtRes!A113)</f>
        <v>113</v>
      </c>
      <c r="D88">
        <f>ROW(EtalonRes!A106)</f>
        <v>106</v>
      </c>
      <c r="E88" t="s">
        <v>237</v>
      </c>
      <c r="F88" t="s">
        <v>238</v>
      </c>
      <c r="G88" t="s">
        <v>239</v>
      </c>
      <c r="H88" t="s">
        <v>220</v>
      </c>
      <c r="I88">
        <v>3</v>
      </c>
      <c r="J88">
        <v>0</v>
      </c>
      <c r="O88">
        <f t="shared" si="65"/>
        <v>10418.85</v>
      </c>
      <c r="P88">
        <f t="shared" si="66"/>
        <v>932.09</v>
      </c>
      <c r="Q88">
        <f t="shared" si="67"/>
        <v>80.510000000000005</v>
      </c>
      <c r="R88">
        <f t="shared" si="68"/>
        <v>17.13</v>
      </c>
      <c r="S88">
        <f t="shared" si="69"/>
        <v>9406.25</v>
      </c>
      <c r="T88">
        <f t="shared" si="70"/>
        <v>0</v>
      </c>
      <c r="U88">
        <f t="shared" si="71"/>
        <v>32.540399999999998</v>
      </c>
      <c r="V88">
        <f t="shared" si="72"/>
        <v>4.1399999999999999E-2</v>
      </c>
      <c r="W88">
        <f t="shared" si="73"/>
        <v>0</v>
      </c>
      <c r="X88">
        <f t="shared" si="74"/>
        <v>8952.2099999999991</v>
      </c>
      <c r="Y88">
        <f t="shared" si="75"/>
        <v>6125.2</v>
      </c>
      <c r="AA88">
        <v>48276314</v>
      </c>
      <c r="AB88">
        <f t="shared" si="76"/>
        <v>154.97999999999999</v>
      </c>
      <c r="AC88">
        <f t="shared" si="77"/>
        <v>47.58</v>
      </c>
      <c r="AD88">
        <f>ROUND((((((ET88*1.2)*1.15))-(((EU88*1.2)*1.15)))+AE88),2)</f>
        <v>3.06</v>
      </c>
      <c r="AE88">
        <f>ROUND((((EU88*1.2)*1.15)),2)</f>
        <v>0.19</v>
      </c>
      <c r="AF88">
        <f>ROUND((((EV88*1.2)*1.15)),2)</f>
        <v>104.34</v>
      </c>
      <c r="AG88">
        <f t="shared" si="78"/>
        <v>0</v>
      </c>
      <c r="AH88">
        <f>(((EW88*1.2)*1.15))</f>
        <v>10.8468</v>
      </c>
      <c r="AI88">
        <f>(((EX88*1.2)*1.15))</f>
        <v>1.38E-2</v>
      </c>
      <c r="AJ88">
        <f t="shared" si="79"/>
        <v>0</v>
      </c>
      <c r="AK88">
        <v>125.41</v>
      </c>
      <c r="AL88">
        <v>47.58</v>
      </c>
      <c r="AM88">
        <v>2.2200000000000002</v>
      </c>
      <c r="AN88">
        <v>0.14000000000000001</v>
      </c>
      <c r="AO88">
        <v>75.61</v>
      </c>
      <c r="AP88">
        <v>0</v>
      </c>
      <c r="AQ88">
        <v>7.86</v>
      </c>
      <c r="AR88">
        <v>0.01</v>
      </c>
      <c r="AS88">
        <v>0</v>
      </c>
      <c r="AT88">
        <v>95</v>
      </c>
      <c r="AU88">
        <v>65</v>
      </c>
      <c r="AV88">
        <v>1</v>
      </c>
      <c r="AW88">
        <v>1</v>
      </c>
      <c r="AZ88">
        <v>1</v>
      </c>
      <c r="BA88">
        <v>30.05</v>
      </c>
      <c r="BB88">
        <v>8.77</v>
      </c>
      <c r="BC88">
        <v>6.53</v>
      </c>
      <c r="BD88" t="s">
        <v>6</v>
      </c>
      <c r="BE88" t="s">
        <v>6</v>
      </c>
      <c r="BF88" t="s">
        <v>6</v>
      </c>
      <c r="BG88" t="s">
        <v>6</v>
      </c>
      <c r="BH88">
        <v>0</v>
      </c>
      <c r="BI88">
        <v>2</v>
      </c>
      <c r="BJ88" t="s">
        <v>240</v>
      </c>
      <c r="BM88">
        <v>108001</v>
      </c>
      <c r="BN88">
        <v>0</v>
      </c>
      <c r="BO88" t="s">
        <v>238</v>
      </c>
      <c r="BP88">
        <v>1</v>
      </c>
      <c r="BQ88">
        <v>3</v>
      </c>
      <c r="BR88">
        <v>0</v>
      </c>
      <c r="BS88">
        <v>30.05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6</v>
      </c>
      <c r="BZ88">
        <v>95</v>
      </c>
      <c r="CA88">
        <v>65</v>
      </c>
      <c r="CE88">
        <v>0</v>
      </c>
      <c r="CF88">
        <v>0</v>
      </c>
      <c r="CG88">
        <v>0</v>
      </c>
      <c r="CM88">
        <v>0</v>
      </c>
      <c r="CN88" t="s">
        <v>490</v>
      </c>
      <c r="CO88">
        <v>0</v>
      </c>
      <c r="CP88">
        <f t="shared" si="80"/>
        <v>10418.85</v>
      </c>
      <c r="CQ88">
        <f t="shared" si="81"/>
        <v>310.69740000000002</v>
      </c>
      <c r="CR88">
        <f t="shared" si="82"/>
        <v>26.836199999999998</v>
      </c>
      <c r="CS88">
        <f t="shared" si="83"/>
        <v>5.7095000000000002</v>
      </c>
      <c r="CT88">
        <f t="shared" si="84"/>
        <v>3135.4170000000004</v>
      </c>
      <c r="CU88">
        <f t="shared" si="85"/>
        <v>0</v>
      </c>
      <c r="CV88">
        <f t="shared" si="86"/>
        <v>10.8468</v>
      </c>
      <c r="CW88">
        <f t="shared" si="87"/>
        <v>1.38E-2</v>
      </c>
      <c r="CX88">
        <f t="shared" si="88"/>
        <v>0</v>
      </c>
      <c r="CY88">
        <f t="shared" si="89"/>
        <v>8952.2109999999993</v>
      </c>
      <c r="CZ88">
        <f t="shared" si="90"/>
        <v>6125.1969999999992</v>
      </c>
      <c r="DC88" t="s">
        <v>6</v>
      </c>
      <c r="DD88" t="s">
        <v>6</v>
      </c>
      <c r="DE88" t="s">
        <v>49</v>
      </c>
      <c r="DF88" t="s">
        <v>49</v>
      </c>
      <c r="DG88" t="s">
        <v>49</v>
      </c>
      <c r="DH88" t="s">
        <v>6</v>
      </c>
      <c r="DI88" t="s">
        <v>49</v>
      </c>
      <c r="DJ88" t="s">
        <v>49</v>
      </c>
      <c r="DK88" t="s">
        <v>6</v>
      </c>
      <c r="DL88" t="s">
        <v>6</v>
      </c>
      <c r="DM88" t="s">
        <v>6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220</v>
      </c>
      <c r="DW88" t="s">
        <v>220</v>
      </c>
      <c r="DX88">
        <v>1</v>
      </c>
      <c r="EE88">
        <v>39495400</v>
      </c>
      <c r="EF88">
        <v>3</v>
      </c>
      <c r="EG88" t="s">
        <v>75</v>
      </c>
      <c r="EH88">
        <v>0</v>
      </c>
      <c r="EI88" t="s">
        <v>6</v>
      </c>
      <c r="EJ88">
        <v>2</v>
      </c>
      <c r="EK88">
        <v>108001</v>
      </c>
      <c r="EL88" t="s">
        <v>92</v>
      </c>
      <c r="EM88" t="s">
        <v>93</v>
      </c>
      <c r="EO88" t="s">
        <v>53</v>
      </c>
      <c r="EQ88">
        <v>0</v>
      </c>
      <c r="ER88">
        <v>125.41</v>
      </c>
      <c r="ES88">
        <v>47.58</v>
      </c>
      <c r="ET88">
        <v>2.2200000000000002</v>
      </c>
      <c r="EU88">
        <v>0.14000000000000001</v>
      </c>
      <c r="EV88">
        <v>75.61</v>
      </c>
      <c r="EW88">
        <v>7.86</v>
      </c>
      <c r="EX88">
        <v>0.01</v>
      </c>
      <c r="EY88">
        <v>0</v>
      </c>
      <c r="FQ88">
        <v>0</v>
      </c>
      <c r="FR88">
        <f t="shared" si="91"/>
        <v>0</v>
      </c>
      <c r="FS88">
        <v>0</v>
      </c>
      <c r="FX88">
        <v>95</v>
      </c>
      <c r="FY88">
        <v>65</v>
      </c>
      <c r="GA88" t="s">
        <v>6</v>
      </c>
      <c r="GD88">
        <v>1</v>
      </c>
      <c r="GF88">
        <v>-241395965</v>
      </c>
      <c r="GG88">
        <v>2</v>
      </c>
      <c r="GH88">
        <v>1</v>
      </c>
      <c r="GI88">
        <v>2</v>
      </c>
      <c r="GJ88">
        <v>0</v>
      </c>
      <c r="GK88">
        <v>0</v>
      </c>
      <c r="GL88">
        <f t="shared" si="92"/>
        <v>0</v>
      </c>
      <c r="GM88">
        <f t="shared" si="93"/>
        <v>25496.26</v>
      </c>
      <c r="GN88">
        <f t="shared" si="94"/>
        <v>0</v>
      </c>
      <c r="GO88">
        <f t="shared" si="95"/>
        <v>25496.26</v>
      </c>
      <c r="GP88">
        <f t="shared" si="96"/>
        <v>0</v>
      </c>
      <c r="GR88">
        <v>0</v>
      </c>
      <c r="GS88">
        <v>3</v>
      </c>
      <c r="GT88">
        <v>0</v>
      </c>
      <c r="GU88" t="s">
        <v>6</v>
      </c>
      <c r="GV88">
        <f t="shared" si="97"/>
        <v>0</v>
      </c>
      <c r="GW88">
        <v>1</v>
      </c>
      <c r="GX88">
        <f t="shared" si="98"/>
        <v>0</v>
      </c>
      <c r="HA88">
        <v>0</v>
      </c>
      <c r="HB88">
        <v>0</v>
      </c>
      <c r="HC88">
        <f t="shared" si="99"/>
        <v>0</v>
      </c>
      <c r="IK88">
        <v>0</v>
      </c>
    </row>
    <row r="89" spans="1:245" x14ac:dyDescent="0.2">
      <c r="A89">
        <v>18</v>
      </c>
      <c r="B89">
        <v>1</v>
      </c>
      <c r="C89">
        <v>112</v>
      </c>
      <c r="E89" t="s">
        <v>241</v>
      </c>
      <c r="F89" t="s">
        <v>242</v>
      </c>
      <c r="G89" t="s">
        <v>243</v>
      </c>
      <c r="H89" t="s">
        <v>225</v>
      </c>
      <c r="I89">
        <f>I88*J89</f>
        <v>-9.2999999999999999E-2</v>
      </c>
      <c r="J89">
        <v>-3.1E-2</v>
      </c>
      <c r="O89">
        <f t="shared" si="65"/>
        <v>-615.41</v>
      </c>
      <c r="P89">
        <f t="shared" si="66"/>
        <v>-615.41</v>
      </c>
      <c r="Q89">
        <f t="shared" si="67"/>
        <v>0</v>
      </c>
      <c r="R89">
        <f t="shared" si="68"/>
        <v>0</v>
      </c>
      <c r="S89">
        <f t="shared" si="69"/>
        <v>0</v>
      </c>
      <c r="T89">
        <f t="shared" si="70"/>
        <v>0</v>
      </c>
      <c r="U89">
        <f t="shared" si="71"/>
        <v>0</v>
      </c>
      <c r="V89">
        <f t="shared" si="72"/>
        <v>0</v>
      </c>
      <c r="W89">
        <f t="shared" si="73"/>
        <v>-0.04</v>
      </c>
      <c r="X89">
        <f t="shared" si="74"/>
        <v>0</v>
      </c>
      <c r="Y89">
        <f t="shared" si="75"/>
        <v>0</v>
      </c>
      <c r="AA89">
        <v>48276314</v>
      </c>
      <c r="AB89">
        <f t="shared" si="76"/>
        <v>1356</v>
      </c>
      <c r="AC89">
        <f t="shared" si="77"/>
        <v>1356</v>
      </c>
      <c r="AD89">
        <f>ROUND((((ET89)-(EU89))+AE89),2)</f>
        <v>0</v>
      </c>
      <c r="AE89">
        <f>ROUND((EU89),2)</f>
        <v>0</v>
      </c>
      <c r="AF89">
        <f>ROUND((EV89),2)</f>
        <v>0</v>
      </c>
      <c r="AG89">
        <f t="shared" si="78"/>
        <v>0</v>
      </c>
      <c r="AH89">
        <f>(EW89)</f>
        <v>0</v>
      </c>
      <c r="AI89">
        <f>(EX89)</f>
        <v>0</v>
      </c>
      <c r="AJ89">
        <f t="shared" si="79"/>
        <v>0.38</v>
      </c>
      <c r="AK89">
        <v>1356</v>
      </c>
      <c r="AL89">
        <v>1356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0.38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4.88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2</v>
      </c>
      <c r="BJ89" t="s">
        <v>244</v>
      </c>
      <c r="BM89">
        <v>500002</v>
      </c>
      <c r="BN89">
        <v>0</v>
      </c>
      <c r="BO89" t="s">
        <v>242</v>
      </c>
      <c r="BP89">
        <v>1</v>
      </c>
      <c r="BQ89">
        <v>12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E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80"/>
        <v>-615.41</v>
      </c>
      <c r="CQ89">
        <f t="shared" si="81"/>
        <v>6617.28</v>
      </c>
      <c r="CR89">
        <f t="shared" si="82"/>
        <v>0</v>
      </c>
      <c r="CS89">
        <f t="shared" si="83"/>
        <v>0</v>
      </c>
      <c r="CT89">
        <f t="shared" si="84"/>
        <v>0</v>
      </c>
      <c r="CU89">
        <f t="shared" si="85"/>
        <v>0</v>
      </c>
      <c r="CV89">
        <f t="shared" si="86"/>
        <v>0</v>
      </c>
      <c r="CW89">
        <f t="shared" si="87"/>
        <v>0</v>
      </c>
      <c r="CX89">
        <f t="shared" si="88"/>
        <v>0.38</v>
      </c>
      <c r="CY89">
        <f t="shared" si="89"/>
        <v>0</v>
      </c>
      <c r="CZ89">
        <f t="shared" si="90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225</v>
      </c>
      <c r="DW89" t="s">
        <v>225</v>
      </c>
      <c r="DX89">
        <v>100</v>
      </c>
      <c r="EE89">
        <v>39495451</v>
      </c>
      <c r="EF89">
        <v>12</v>
      </c>
      <c r="EG89" t="s">
        <v>99</v>
      </c>
      <c r="EH89">
        <v>0</v>
      </c>
      <c r="EI89" t="s">
        <v>6</v>
      </c>
      <c r="EJ89">
        <v>2</v>
      </c>
      <c r="EK89">
        <v>500002</v>
      </c>
      <c r="EL89" t="s">
        <v>100</v>
      </c>
      <c r="EM89" t="s">
        <v>101</v>
      </c>
      <c r="EO89" t="s">
        <v>6</v>
      </c>
      <c r="EQ89">
        <v>0</v>
      </c>
      <c r="ER89">
        <v>1356</v>
      </c>
      <c r="ES89">
        <v>1356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91"/>
        <v>0</v>
      </c>
      <c r="FS89">
        <v>0</v>
      </c>
      <c r="FX89">
        <v>0</v>
      </c>
      <c r="FY89">
        <v>0</v>
      </c>
      <c r="GA89" t="s">
        <v>6</v>
      </c>
      <c r="GD89">
        <v>1</v>
      </c>
      <c r="GF89">
        <v>-233835936</v>
      </c>
      <c r="GG89">
        <v>2</v>
      </c>
      <c r="GH89">
        <v>1</v>
      </c>
      <c r="GI89">
        <v>2</v>
      </c>
      <c r="GJ89">
        <v>0</v>
      </c>
      <c r="GK89">
        <v>0</v>
      </c>
      <c r="GL89">
        <f t="shared" si="92"/>
        <v>0</v>
      </c>
      <c r="GM89">
        <f t="shared" si="93"/>
        <v>-615.41</v>
      </c>
      <c r="GN89">
        <f t="shared" si="94"/>
        <v>0</v>
      </c>
      <c r="GO89">
        <f t="shared" si="95"/>
        <v>-615.41</v>
      </c>
      <c r="GP89">
        <f t="shared" si="96"/>
        <v>0</v>
      </c>
      <c r="GR89">
        <v>0</v>
      </c>
      <c r="GS89">
        <v>3</v>
      </c>
      <c r="GT89">
        <v>0</v>
      </c>
      <c r="GU89" t="s">
        <v>6</v>
      </c>
      <c r="GV89">
        <f t="shared" si="97"/>
        <v>0</v>
      </c>
      <c r="GW89">
        <v>1</v>
      </c>
      <c r="GX89">
        <f t="shared" si="98"/>
        <v>0</v>
      </c>
      <c r="HA89">
        <v>0</v>
      </c>
      <c r="HB89">
        <v>0</v>
      </c>
      <c r="HC89">
        <f t="shared" si="99"/>
        <v>0</v>
      </c>
      <c r="IK89">
        <v>0</v>
      </c>
    </row>
    <row r="90" spans="1:245" x14ac:dyDescent="0.2">
      <c r="A90">
        <v>17</v>
      </c>
      <c r="B90">
        <v>1</v>
      </c>
      <c r="C90">
        <f>ROW(SmtRes!A116)</f>
        <v>116</v>
      </c>
      <c r="D90">
        <f>ROW(EtalonRes!A109)</f>
        <v>109</v>
      </c>
      <c r="E90" t="s">
        <v>245</v>
      </c>
      <c r="F90" t="s">
        <v>246</v>
      </c>
      <c r="G90" t="s">
        <v>247</v>
      </c>
      <c r="H90" t="s">
        <v>248</v>
      </c>
      <c r="I90">
        <f>ROUND((I77),9)</f>
        <v>9.58</v>
      </c>
      <c r="J90">
        <v>0</v>
      </c>
      <c r="O90">
        <f t="shared" si="65"/>
        <v>105470.68</v>
      </c>
      <c r="P90">
        <f t="shared" si="66"/>
        <v>92832.5</v>
      </c>
      <c r="Q90">
        <f t="shared" si="67"/>
        <v>915.75</v>
      </c>
      <c r="R90">
        <f t="shared" si="68"/>
        <v>0</v>
      </c>
      <c r="S90">
        <f t="shared" si="69"/>
        <v>11722.43</v>
      </c>
      <c r="T90">
        <f t="shared" si="70"/>
        <v>0</v>
      </c>
      <c r="U90">
        <f t="shared" si="71"/>
        <v>48.651071999999999</v>
      </c>
      <c r="V90">
        <f t="shared" si="72"/>
        <v>0</v>
      </c>
      <c r="W90">
        <f t="shared" si="73"/>
        <v>0</v>
      </c>
      <c r="X90">
        <f t="shared" si="74"/>
        <v>11136.31</v>
      </c>
      <c r="Y90">
        <f t="shared" si="75"/>
        <v>7619.58</v>
      </c>
      <c r="AA90">
        <v>48276314</v>
      </c>
      <c r="AB90">
        <f t="shared" si="76"/>
        <v>1492.9</v>
      </c>
      <c r="AC90">
        <f t="shared" si="77"/>
        <v>1442</v>
      </c>
      <c r="AD90">
        <f>ROUND((((((ET90*1.2)*1.15))-(((EU90*1.2)*1.15)))+AE90),2)</f>
        <v>10.18</v>
      </c>
      <c r="AE90">
        <f>ROUND((((EU90*1.2)*1.15)),2)</f>
        <v>0</v>
      </c>
      <c r="AF90">
        <f>ROUND((((EV90*1.2)*1.15)),2)</f>
        <v>40.72</v>
      </c>
      <c r="AG90">
        <f t="shared" si="78"/>
        <v>0</v>
      </c>
      <c r="AH90">
        <f>(((EW90*1.2)*1.15))</f>
        <v>5.0784000000000002</v>
      </c>
      <c r="AI90">
        <f>(((EX90*1.2)*1.15))</f>
        <v>0</v>
      </c>
      <c r="AJ90">
        <f t="shared" si="79"/>
        <v>0</v>
      </c>
      <c r="AK90">
        <v>1478.89</v>
      </c>
      <c r="AL90">
        <v>1442</v>
      </c>
      <c r="AM90">
        <v>7.38</v>
      </c>
      <c r="AN90">
        <v>0</v>
      </c>
      <c r="AO90">
        <v>29.51</v>
      </c>
      <c r="AP90">
        <v>0</v>
      </c>
      <c r="AQ90">
        <v>3.68</v>
      </c>
      <c r="AR90">
        <v>0</v>
      </c>
      <c r="AS90">
        <v>0</v>
      </c>
      <c r="AT90">
        <v>95</v>
      </c>
      <c r="AU90">
        <v>65</v>
      </c>
      <c r="AV90">
        <v>1</v>
      </c>
      <c r="AW90">
        <v>1</v>
      </c>
      <c r="AZ90">
        <v>1</v>
      </c>
      <c r="BA90">
        <v>30.05</v>
      </c>
      <c r="BB90">
        <v>9.39</v>
      </c>
      <c r="BC90">
        <v>6.72</v>
      </c>
      <c r="BD90" t="s">
        <v>6</v>
      </c>
      <c r="BE90" t="s">
        <v>6</v>
      </c>
      <c r="BF90" t="s">
        <v>6</v>
      </c>
      <c r="BG90" t="s">
        <v>6</v>
      </c>
      <c r="BH90">
        <v>0</v>
      </c>
      <c r="BI90">
        <v>2</v>
      </c>
      <c r="BJ90" t="s">
        <v>249</v>
      </c>
      <c r="BM90">
        <v>108001</v>
      </c>
      <c r="BN90">
        <v>0</v>
      </c>
      <c r="BO90" t="s">
        <v>246</v>
      </c>
      <c r="BP90">
        <v>1</v>
      </c>
      <c r="BQ90">
        <v>3</v>
      </c>
      <c r="BR90">
        <v>0</v>
      </c>
      <c r="BS90">
        <v>30.05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6</v>
      </c>
      <c r="BZ90">
        <v>95</v>
      </c>
      <c r="CA90">
        <v>65</v>
      </c>
      <c r="CE90">
        <v>0</v>
      </c>
      <c r="CF90">
        <v>0</v>
      </c>
      <c r="CG90">
        <v>0</v>
      </c>
      <c r="CM90">
        <v>0</v>
      </c>
      <c r="CN90" t="s">
        <v>490</v>
      </c>
      <c r="CO90">
        <v>0</v>
      </c>
      <c r="CP90">
        <f t="shared" si="80"/>
        <v>105470.68</v>
      </c>
      <c r="CQ90">
        <f t="shared" si="81"/>
        <v>9690.24</v>
      </c>
      <c r="CR90">
        <f t="shared" si="82"/>
        <v>95.59020000000001</v>
      </c>
      <c r="CS90">
        <f t="shared" si="83"/>
        <v>0</v>
      </c>
      <c r="CT90">
        <f t="shared" si="84"/>
        <v>1223.636</v>
      </c>
      <c r="CU90">
        <f t="shared" si="85"/>
        <v>0</v>
      </c>
      <c r="CV90">
        <f t="shared" si="86"/>
        <v>5.0784000000000002</v>
      </c>
      <c r="CW90">
        <f t="shared" si="87"/>
        <v>0</v>
      </c>
      <c r="CX90">
        <f t="shared" si="88"/>
        <v>0</v>
      </c>
      <c r="CY90">
        <f t="shared" si="89"/>
        <v>11136.308500000001</v>
      </c>
      <c r="CZ90">
        <f t="shared" si="90"/>
        <v>7619.5795000000007</v>
      </c>
      <c r="DC90" t="s">
        <v>6</v>
      </c>
      <c r="DD90" t="s">
        <v>6</v>
      </c>
      <c r="DE90" t="s">
        <v>49</v>
      </c>
      <c r="DF90" t="s">
        <v>49</v>
      </c>
      <c r="DG90" t="s">
        <v>49</v>
      </c>
      <c r="DH90" t="s">
        <v>6</v>
      </c>
      <c r="DI90" t="s">
        <v>49</v>
      </c>
      <c r="DJ90" t="s">
        <v>49</v>
      </c>
      <c r="DK90" t="s">
        <v>6</v>
      </c>
      <c r="DL90" t="s">
        <v>6</v>
      </c>
      <c r="DM90" t="s">
        <v>6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248</v>
      </c>
      <c r="DW90" t="s">
        <v>248</v>
      </c>
      <c r="DX90">
        <v>1</v>
      </c>
      <c r="EE90">
        <v>39495400</v>
      </c>
      <c r="EF90">
        <v>3</v>
      </c>
      <c r="EG90" t="s">
        <v>75</v>
      </c>
      <c r="EH90">
        <v>0</v>
      </c>
      <c r="EI90" t="s">
        <v>6</v>
      </c>
      <c r="EJ90">
        <v>2</v>
      </c>
      <c r="EK90">
        <v>108001</v>
      </c>
      <c r="EL90" t="s">
        <v>92</v>
      </c>
      <c r="EM90" t="s">
        <v>93</v>
      </c>
      <c r="EO90" t="s">
        <v>53</v>
      </c>
      <c r="EQ90">
        <v>131072</v>
      </c>
      <c r="ER90">
        <v>1478.89</v>
      </c>
      <c r="ES90">
        <v>1442</v>
      </c>
      <c r="ET90">
        <v>7.38</v>
      </c>
      <c r="EU90">
        <v>0</v>
      </c>
      <c r="EV90">
        <v>29.51</v>
      </c>
      <c r="EW90">
        <v>3.68</v>
      </c>
      <c r="EX90">
        <v>0</v>
      </c>
      <c r="EY90">
        <v>0</v>
      </c>
      <c r="FQ90">
        <v>0</v>
      </c>
      <c r="FR90">
        <f t="shared" si="91"/>
        <v>0</v>
      </c>
      <c r="FS90">
        <v>0</v>
      </c>
      <c r="FX90">
        <v>95</v>
      </c>
      <c r="FY90">
        <v>65</v>
      </c>
      <c r="GA90" t="s">
        <v>6</v>
      </c>
      <c r="GD90">
        <v>1</v>
      </c>
      <c r="GF90">
        <v>587397894</v>
      </c>
      <c r="GG90">
        <v>2</v>
      </c>
      <c r="GH90">
        <v>1</v>
      </c>
      <c r="GI90">
        <v>2</v>
      </c>
      <c r="GJ90">
        <v>0</v>
      </c>
      <c r="GK90">
        <v>0</v>
      </c>
      <c r="GL90">
        <f t="shared" si="92"/>
        <v>0</v>
      </c>
      <c r="GM90">
        <f t="shared" si="93"/>
        <v>124226.57</v>
      </c>
      <c r="GN90">
        <f t="shared" si="94"/>
        <v>0</v>
      </c>
      <c r="GO90">
        <f t="shared" si="95"/>
        <v>124226.57</v>
      </c>
      <c r="GP90">
        <f t="shared" si="96"/>
        <v>0</v>
      </c>
      <c r="GR90">
        <v>0</v>
      </c>
      <c r="GS90">
        <v>3</v>
      </c>
      <c r="GT90">
        <v>0</v>
      </c>
      <c r="GU90" t="s">
        <v>6</v>
      </c>
      <c r="GV90">
        <f t="shared" si="97"/>
        <v>0</v>
      </c>
      <c r="GW90">
        <v>1</v>
      </c>
      <c r="GX90">
        <f t="shared" si="98"/>
        <v>0</v>
      </c>
      <c r="HA90">
        <v>0</v>
      </c>
      <c r="HB90">
        <v>0</v>
      </c>
      <c r="HC90">
        <f t="shared" si="99"/>
        <v>0</v>
      </c>
      <c r="IK90">
        <v>0</v>
      </c>
    </row>
    <row r="92" spans="1:245" x14ac:dyDescent="0.2">
      <c r="A92" s="2">
        <v>51</v>
      </c>
      <c r="B92" s="2">
        <f>B73</f>
        <v>1</v>
      </c>
      <c r="C92" s="2">
        <f>A73</f>
        <v>4</v>
      </c>
      <c r="D92" s="2">
        <f>ROW(A73)</f>
        <v>73</v>
      </c>
      <c r="E92" s="2"/>
      <c r="F92" s="2" t="str">
        <f>IF(F73&lt;&gt;"",F73,"")</f>
        <v>Новый раздел</v>
      </c>
      <c r="G92" s="2" t="str">
        <f>IF(G73&lt;&gt;"",G73,"")</f>
        <v>Электромонтажные работы</v>
      </c>
      <c r="H92" s="2">
        <v>0</v>
      </c>
      <c r="I92" s="2"/>
      <c r="J92" s="2"/>
      <c r="K92" s="2"/>
      <c r="L92" s="2"/>
      <c r="M92" s="2"/>
      <c r="N92" s="2"/>
      <c r="O92" s="2">
        <f t="shared" ref="O92:T92" si="102">ROUND(AB92,2)</f>
        <v>399511.71</v>
      </c>
      <c r="P92" s="2">
        <f t="shared" si="102"/>
        <v>173346.6</v>
      </c>
      <c r="Q92" s="2">
        <f t="shared" si="102"/>
        <v>99967.01</v>
      </c>
      <c r="R92" s="2">
        <f t="shared" si="102"/>
        <v>13076.22</v>
      </c>
      <c r="S92" s="2">
        <f t="shared" si="102"/>
        <v>126198.1</v>
      </c>
      <c r="T92" s="2">
        <f t="shared" si="102"/>
        <v>0</v>
      </c>
      <c r="U92" s="2">
        <f>AH92</f>
        <v>445.50586799999991</v>
      </c>
      <c r="V92" s="2">
        <f>AI92</f>
        <v>32.231777999999998</v>
      </c>
      <c r="W92" s="2">
        <f>ROUND(AJ92,2)</f>
        <v>3329.48</v>
      </c>
      <c r="X92" s="2">
        <f>ROUND(AK92,2)</f>
        <v>132310.62</v>
      </c>
      <c r="Y92" s="2">
        <f>ROUND(AL92,2)</f>
        <v>90528.320000000007</v>
      </c>
      <c r="Z92" s="2"/>
      <c r="AA92" s="2"/>
      <c r="AB92" s="2">
        <f>ROUND(SUMIF(AA77:AA90,"=48276314",O77:O90),2)</f>
        <v>399511.71</v>
      </c>
      <c r="AC92" s="2">
        <f>ROUND(SUMIF(AA77:AA90,"=48276314",P77:P90),2)</f>
        <v>173346.6</v>
      </c>
      <c r="AD92" s="2">
        <f>ROUND(SUMIF(AA77:AA90,"=48276314",Q77:Q90),2)</f>
        <v>99967.01</v>
      </c>
      <c r="AE92" s="2">
        <f>ROUND(SUMIF(AA77:AA90,"=48276314",R77:R90),2)</f>
        <v>13076.22</v>
      </c>
      <c r="AF92" s="2">
        <f>ROUND(SUMIF(AA77:AA90,"=48276314",S77:S90),2)</f>
        <v>126198.1</v>
      </c>
      <c r="AG92" s="2">
        <f>ROUND(SUMIF(AA77:AA90,"=48276314",T77:T90),2)</f>
        <v>0</v>
      </c>
      <c r="AH92" s="2">
        <f>SUMIF(AA77:AA90,"=48276314",U77:U90)</f>
        <v>445.50586799999991</v>
      </c>
      <c r="AI92" s="2">
        <f>SUMIF(AA77:AA90,"=48276314",V77:V90)</f>
        <v>32.231777999999998</v>
      </c>
      <c r="AJ92" s="2">
        <f>ROUND(SUMIF(AA77:AA90,"=48276314",W77:W90),2)</f>
        <v>3329.48</v>
      </c>
      <c r="AK92" s="2">
        <f>ROUND(SUMIF(AA77:AA90,"=48276314",X77:X90),2)</f>
        <v>132310.62</v>
      </c>
      <c r="AL92" s="2">
        <f>ROUND(SUMIF(AA77:AA90,"=48276314",Y77:Y90),2)</f>
        <v>90528.320000000007</v>
      </c>
      <c r="AM92" s="2"/>
      <c r="AN92" s="2"/>
      <c r="AO92" s="2">
        <f t="shared" ref="AO92:BC92" si="103">ROUND(BX92,2)</f>
        <v>0</v>
      </c>
      <c r="AP92" s="2">
        <f t="shared" si="103"/>
        <v>0</v>
      </c>
      <c r="AQ92" s="2">
        <f t="shared" si="103"/>
        <v>0</v>
      </c>
      <c r="AR92" s="2">
        <f t="shared" si="103"/>
        <v>622350.65</v>
      </c>
      <c r="AS92" s="2">
        <f t="shared" si="103"/>
        <v>2527.9699999999998</v>
      </c>
      <c r="AT92" s="2">
        <f t="shared" si="103"/>
        <v>619822.68000000005</v>
      </c>
      <c r="AU92" s="2">
        <f t="shared" si="103"/>
        <v>0</v>
      </c>
      <c r="AV92" s="2">
        <f t="shared" si="103"/>
        <v>173346.6</v>
      </c>
      <c r="AW92" s="2">
        <f t="shared" si="103"/>
        <v>173346.6</v>
      </c>
      <c r="AX92" s="2">
        <f t="shared" si="103"/>
        <v>0</v>
      </c>
      <c r="AY92" s="2">
        <f t="shared" si="103"/>
        <v>173346.6</v>
      </c>
      <c r="AZ92" s="2">
        <f t="shared" si="103"/>
        <v>0</v>
      </c>
      <c r="BA92" s="2">
        <f t="shared" si="103"/>
        <v>0</v>
      </c>
      <c r="BB92" s="2">
        <f t="shared" si="103"/>
        <v>0</v>
      </c>
      <c r="BC92" s="2">
        <f t="shared" si="103"/>
        <v>0</v>
      </c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>
        <f>ROUND(SUMIF(AA77:AA90,"=48276314",FQ77:FQ90),2)</f>
        <v>0</v>
      </c>
      <c r="BY92" s="2">
        <f>ROUND(SUMIF(AA77:AA90,"=48276314",FR77:FR90),2)</f>
        <v>0</v>
      </c>
      <c r="BZ92" s="2">
        <f>ROUND(SUMIF(AA77:AA90,"=48276314",GL77:GL90),2)</f>
        <v>0</v>
      </c>
      <c r="CA92" s="2">
        <f>ROUND(SUMIF(AA77:AA90,"=48276314",GM77:GM90),2)</f>
        <v>622350.65</v>
      </c>
      <c r="CB92" s="2">
        <f>ROUND(SUMIF(AA77:AA90,"=48276314",GN77:GN90),2)</f>
        <v>2527.9699999999998</v>
      </c>
      <c r="CC92" s="2">
        <f>ROUND(SUMIF(AA77:AA90,"=48276314",GO77:GO90),2)</f>
        <v>619822.68000000005</v>
      </c>
      <c r="CD92" s="2">
        <f>ROUND(SUMIF(AA77:AA90,"=48276314",GP77:GP90),2)</f>
        <v>0</v>
      </c>
      <c r="CE92" s="2">
        <f>AC92-BX92</f>
        <v>173346.6</v>
      </c>
      <c r="CF92" s="2">
        <f>AC92-BY92</f>
        <v>173346.6</v>
      </c>
      <c r="CG92" s="2">
        <f>BX92-BZ92</f>
        <v>0</v>
      </c>
      <c r="CH92" s="2">
        <f>AC92-BX92-BY92+BZ92</f>
        <v>173346.6</v>
      </c>
      <c r="CI92" s="2">
        <f>BY92-BZ92</f>
        <v>0</v>
      </c>
      <c r="CJ92" s="2">
        <f>ROUND(SUMIF(AA77:AA90,"=48276314",GX77:GX90),2)</f>
        <v>0</v>
      </c>
      <c r="CK92" s="2">
        <f>ROUND(SUMIF(AA77:AA90,"=48276314",GY77:GY90),2)</f>
        <v>0</v>
      </c>
      <c r="CL92" s="2">
        <f>ROUND(SUMIF(AA77:AA90,"=48276314",GZ77:GZ90),2)</f>
        <v>0</v>
      </c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>
        <v>0</v>
      </c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201</v>
      </c>
      <c r="F94" s="4">
        <f>ROUND(Source!O92,O94)</f>
        <v>399511.71</v>
      </c>
      <c r="G94" s="4" t="s">
        <v>130</v>
      </c>
      <c r="H94" s="4" t="s">
        <v>131</v>
      </c>
      <c r="I94" s="4"/>
      <c r="J94" s="4"/>
      <c r="K94" s="4">
        <v>201</v>
      </c>
      <c r="L94" s="4">
        <v>1</v>
      </c>
      <c r="M94" s="4">
        <v>3</v>
      </c>
      <c r="N94" s="4" t="s">
        <v>6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202</v>
      </c>
      <c r="F95" s="4">
        <f>ROUND(Source!P92,O95)</f>
        <v>173346.6</v>
      </c>
      <c r="G95" s="4" t="s">
        <v>132</v>
      </c>
      <c r="H95" s="4" t="s">
        <v>133</v>
      </c>
      <c r="I95" s="4"/>
      <c r="J95" s="4"/>
      <c r="K95" s="4">
        <v>202</v>
      </c>
      <c r="L95" s="4">
        <v>2</v>
      </c>
      <c r="M95" s="4">
        <v>3</v>
      </c>
      <c r="N95" s="4" t="s">
        <v>6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222</v>
      </c>
      <c r="F96" s="4">
        <f>ROUND(Source!AO92,O96)</f>
        <v>0</v>
      </c>
      <c r="G96" s="4" t="s">
        <v>134</v>
      </c>
      <c r="H96" s="4" t="s">
        <v>135</v>
      </c>
      <c r="I96" s="4"/>
      <c r="J96" s="4"/>
      <c r="K96" s="4">
        <v>222</v>
      </c>
      <c r="L96" s="4">
        <v>3</v>
      </c>
      <c r="M96" s="4">
        <v>3</v>
      </c>
      <c r="N96" s="4" t="s">
        <v>6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225</v>
      </c>
      <c r="F97" s="4">
        <f>ROUND(Source!AV92,O97)</f>
        <v>173346.6</v>
      </c>
      <c r="G97" s="4" t="s">
        <v>136</v>
      </c>
      <c r="H97" s="4" t="s">
        <v>137</v>
      </c>
      <c r="I97" s="4"/>
      <c r="J97" s="4"/>
      <c r="K97" s="4">
        <v>225</v>
      </c>
      <c r="L97" s="4">
        <v>4</v>
      </c>
      <c r="M97" s="4">
        <v>3</v>
      </c>
      <c r="N97" s="4" t="s">
        <v>6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226</v>
      </c>
      <c r="F98" s="4">
        <f>ROUND(Source!AW92,O98)</f>
        <v>173346.6</v>
      </c>
      <c r="G98" s="4" t="s">
        <v>138</v>
      </c>
      <c r="H98" s="4" t="s">
        <v>139</v>
      </c>
      <c r="I98" s="4"/>
      <c r="J98" s="4"/>
      <c r="K98" s="4">
        <v>226</v>
      </c>
      <c r="L98" s="4">
        <v>5</v>
      </c>
      <c r="M98" s="4">
        <v>3</v>
      </c>
      <c r="N98" s="4" t="s">
        <v>6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227</v>
      </c>
      <c r="F99" s="4">
        <f>ROUND(Source!AX92,O99)</f>
        <v>0</v>
      </c>
      <c r="G99" s="4" t="s">
        <v>140</v>
      </c>
      <c r="H99" s="4" t="s">
        <v>141</v>
      </c>
      <c r="I99" s="4"/>
      <c r="J99" s="4"/>
      <c r="K99" s="4">
        <v>227</v>
      </c>
      <c r="L99" s="4">
        <v>6</v>
      </c>
      <c r="M99" s="4">
        <v>3</v>
      </c>
      <c r="N99" s="4" t="s">
        <v>6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228</v>
      </c>
      <c r="F100" s="4">
        <f>ROUND(Source!AY92,O100)</f>
        <v>173346.6</v>
      </c>
      <c r="G100" s="4" t="s">
        <v>142</v>
      </c>
      <c r="H100" s="4" t="s">
        <v>143</v>
      </c>
      <c r="I100" s="4"/>
      <c r="J100" s="4"/>
      <c r="K100" s="4">
        <v>228</v>
      </c>
      <c r="L100" s="4">
        <v>7</v>
      </c>
      <c r="M100" s="4">
        <v>3</v>
      </c>
      <c r="N100" s="4" t="s">
        <v>6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216</v>
      </c>
      <c r="F101" s="4">
        <f>ROUND(Source!AP92,O101)</f>
        <v>0</v>
      </c>
      <c r="G101" s="4" t="s">
        <v>144</v>
      </c>
      <c r="H101" s="4" t="s">
        <v>145</v>
      </c>
      <c r="I101" s="4"/>
      <c r="J101" s="4"/>
      <c r="K101" s="4">
        <v>216</v>
      </c>
      <c r="L101" s="4">
        <v>8</v>
      </c>
      <c r="M101" s="4">
        <v>3</v>
      </c>
      <c r="N101" s="4" t="s">
        <v>6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223</v>
      </c>
      <c r="F102" s="4">
        <f>ROUND(Source!AQ92,O102)</f>
        <v>0</v>
      </c>
      <c r="G102" s="4" t="s">
        <v>146</v>
      </c>
      <c r="H102" s="4" t="s">
        <v>147</v>
      </c>
      <c r="I102" s="4"/>
      <c r="J102" s="4"/>
      <c r="K102" s="4">
        <v>223</v>
      </c>
      <c r="L102" s="4">
        <v>9</v>
      </c>
      <c r="M102" s="4">
        <v>3</v>
      </c>
      <c r="N102" s="4" t="s">
        <v>6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229</v>
      </c>
      <c r="F103" s="4">
        <f>ROUND(Source!AZ92,O103)</f>
        <v>0</v>
      </c>
      <c r="G103" s="4" t="s">
        <v>148</v>
      </c>
      <c r="H103" s="4" t="s">
        <v>149</v>
      </c>
      <c r="I103" s="4"/>
      <c r="J103" s="4"/>
      <c r="K103" s="4">
        <v>229</v>
      </c>
      <c r="L103" s="4">
        <v>10</v>
      </c>
      <c r="M103" s="4">
        <v>3</v>
      </c>
      <c r="N103" s="4" t="s">
        <v>6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203</v>
      </c>
      <c r="F104" s="4">
        <f>ROUND(Source!Q92,O104)</f>
        <v>99967.01</v>
      </c>
      <c r="G104" s="4" t="s">
        <v>150</v>
      </c>
      <c r="H104" s="4" t="s">
        <v>151</v>
      </c>
      <c r="I104" s="4"/>
      <c r="J104" s="4"/>
      <c r="K104" s="4">
        <v>203</v>
      </c>
      <c r="L104" s="4">
        <v>11</v>
      </c>
      <c r="M104" s="4">
        <v>3</v>
      </c>
      <c r="N104" s="4" t="s">
        <v>6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231</v>
      </c>
      <c r="F105" s="4">
        <f>ROUND(Source!BB92,O105)</f>
        <v>0</v>
      </c>
      <c r="G105" s="4" t="s">
        <v>152</v>
      </c>
      <c r="H105" s="4" t="s">
        <v>153</v>
      </c>
      <c r="I105" s="4"/>
      <c r="J105" s="4"/>
      <c r="K105" s="4">
        <v>231</v>
      </c>
      <c r="L105" s="4">
        <v>12</v>
      </c>
      <c r="M105" s="4">
        <v>3</v>
      </c>
      <c r="N105" s="4" t="s">
        <v>6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204</v>
      </c>
      <c r="F106" s="4">
        <f>ROUND(Source!R92,O106)</f>
        <v>13076.22</v>
      </c>
      <c r="G106" s="4" t="s">
        <v>154</v>
      </c>
      <c r="H106" s="4" t="s">
        <v>155</v>
      </c>
      <c r="I106" s="4"/>
      <c r="J106" s="4"/>
      <c r="K106" s="4">
        <v>204</v>
      </c>
      <c r="L106" s="4">
        <v>13</v>
      </c>
      <c r="M106" s="4">
        <v>3</v>
      </c>
      <c r="N106" s="4" t="s">
        <v>6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205</v>
      </c>
      <c r="F107" s="4">
        <f>ROUND(Source!S92,O107)</f>
        <v>126198.1</v>
      </c>
      <c r="G107" s="4" t="s">
        <v>156</v>
      </c>
      <c r="H107" s="4" t="s">
        <v>157</v>
      </c>
      <c r="I107" s="4"/>
      <c r="J107" s="4"/>
      <c r="K107" s="4">
        <v>205</v>
      </c>
      <c r="L107" s="4">
        <v>14</v>
      </c>
      <c r="M107" s="4">
        <v>3</v>
      </c>
      <c r="N107" s="4" t="s">
        <v>6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232</v>
      </c>
      <c r="F108" s="4">
        <f>ROUND(Source!BC92,O108)</f>
        <v>0</v>
      </c>
      <c r="G108" s="4" t="s">
        <v>158</v>
      </c>
      <c r="H108" s="4" t="s">
        <v>159</v>
      </c>
      <c r="I108" s="4"/>
      <c r="J108" s="4"/>
      <c r="K108" s="4">
        <v>232</v>
      </c>
      <c r="L108" s="4">
        <v>15</v>
      </c>
      <c r="M108" s="4">
        <v>3</v>
      </c>
      <c r="N108" s="4" t="s">
        <v>6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214</v>
      </c>
      <c r="F109" s="4">
        <f>ROUND(Source!AS92,O109)</f>
        <v>2527.9699999999998</v>
      </c>
      <c r="G109" s="4" t="s">
        <v>160</v>
      </c>
      <c r="H109" s="4" t="s">
        <v>161</v>
      </c>
      <c r="I109" s="4"/>
      <c r="J109" s="4"/>
      <c r="K109" s="4">
        <v>214</v>
      </c>
      <c r="L109" s="4">
        <v>16</v>
      </c>
      <c r="M109" s="4">
        <v>3</v>
      </c>
      <c r="N109" s="4" t="s">
        <v>6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215</v>
      </c>
      <c r="F110" s="4">
        <f>ROUND(Source!AT92,O110)</f>
        <v>619822.68000000005</v>
      </c>
      <c r="G110" s="4" t="s">
        <v>162</v>
      </c>
      <c r="H110" s="4" t="s">
        <v>163</v>
      </c>
      <c r="I110" s="4"/>
      <c r="J110" s="4"/>
      <c r="K110" s="4">
        <v>215</v>
      </c>
      <c r="L110" s="4">
        <v>17</v>
      </c>
      <c r="M110" s="4">
        <v>3</v>
      </c>
      <c r="N110" s="4" t="s">
        <v>6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217</v>
      </c>
      <c r="F111" s="4">
        <f>ROUND(Source!AU92,O111)</f>
        <v>0</v>
      </c>
      <c r="G111" s="4" t="s">
        <v>164</v>
      </c>
      <c r="H111" s="4" t="s">
        <v>165</v>
      </c>
      <c r="I111" s="4"/>
      <c r="J111" s="4"/>
      <c r="K111" s="4">
        <v>217</v>
      </c>
      <c r="L111" s="4">
        <v>18</v>
      </c>
      <c r="M111" s="4">
        <v>3</v>
      </c>
      <c r="N111" s="4" t="s">
        <v>6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230</v>
      </c>
      <c r="F112" s="4">
        <f>ROUND(Source!BA92,O112)</f>
        <v>0</v>
      </c>
      <c r="G112" s="4" t="s">
        <v>166</v>
      </c>
      <c r="H112" s="4" t="s">
        <v>167</v>
      </c>
      <c r="I112" s="4"/>
      <c r="J112" s="4"/>
      <c r="K112" s="4">
        <v>230</v>
      </c>
      <c r="L112" s="4">
        <v>19</v>
      </c>
      <c r="M112" s="4">
        <v>3</v>
      </c>
      <c r="N112" s="4" t="s">
        <v>6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45" x14ac:dyDescent="0.2">
      <c r="A113" s="4">
        <v>50</v>
      </c>
      <c r="B113" s="4">
        <v>0</v>
      </c>
      <c r="C113" s="4">
        <v>0</v>
      </c>
      <c r="D113" s="4">
        <v>1</v>
      </c>
      <c r="E113" s="4">
        <v>206</v>
      </c>
      <c r="F113" s="4">
        <f>ROUND(Source!T92,O113)</f>
        <v>0</v>
      </c>
      <c r="G113" s="4" t="s">
        <v>168</v>
      </c>
      <c r="H113" s="4" t="s">
        <v>169</v>
      </c>
      <c r="I113" s="4"/>
      <c r="J113" s="4"/>
      <c r="K113" s="4">
        <v>206</v>
      </c>
      <c r="L113" s="4">
        <v>20</v>
      </c>
      <c r="M113" s="4">
        <v>3</v>
      </c>
      <c r="N113" s="4" t="s">
        <v>6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45" x14ac:dyDescent="0.2">
      <c r="A114" s="4">
        <v>50</v>
      </c>
      <c r="B114" s="4">
        <v>0</v>
      </c>
      <c r="C114" s="4">
        <v>0</v>
      </c>
      <c r="D114" s="4">
        <v>1</v>
      </c>
      <c r="E114" s="4">
        <v>207</v>
      </c>
      <c r="F114" s="4">
        <f>Source!U92</f>
        <v>445.50586799999991</v>
      </c>
      <c r="G114" s="4" t="s">
        <v>170</v>
      </c>
      <c r="H114" s="4" t="s">
        <v>171</v>
      </c>
      <c r="I114" s="4"/>
      <c r="J114" s="4"/>
      <c r="K114" s="4">
        <v>207</v>
      </c>
      <c r="L114" s="4">
        <v>21</v>
      </c>
      <c r="M114" s="4">
        <v>3</v>
      </c>
      <c r="N114" s="4" t="s">
        <v>6</v>
      </c>
      <c r="O114" s="4">
        <v>-1</v>
      </c>
      <c r="P114" s="4"/>
      <c r="Q114" s="4"/>
      <c r="R114" s="4"/>
      <c r="S114" s="4"/>
      <c r="T114" s="4"/>
      <c r="U114" s="4"/>
      <c r="V114" s="4"/>
      <c r="W114" s="4"/>
    </row>
    <row r="115" spans="1:245" x14ac:dyDescent="0.2">
      <c r="A115" s="4">
        <v>50</v>
      </c>
      <c r="B115" s="4">
        <v>0</v>
      </c>
      <c r="C115" s="4">
        <v>0</v>
      </c>
      <c r="D115" s="4">
        <v>1</v>
      </c>
      <c r="E115" s="4">
        <v>208</v>
      </c>
      <c r="F115" s="4">
        <f>Source!V92</f>
        <v>32.231777999999998</v>
      </c>
      <c r="G115" s="4" t="s">
        <v>172</v>
      </c>
      <c r="H115" s="4" t="s">
        <v>173</v>
      </c>
      <c r="I115" s="4"/>
      <c r="J115" s="4"/>
      <c r="K115" s="4">
        <v>208</v>
      </c>
      <c r="L115" s="4">
        <v>22</v>
      </c>
      <c r="M115" s="4">
        <v>3</v>
      </c>
      <c r="N115" s="4" t="s">
        <v>6</v>
      </c>
      <c r="O115" s="4">
        <v>-1</v>
      </c>
      <c r="P115" s="4"/>
      <c r="Q115" s="4"/>
      <c r="R115" s="4"/>
      <c r="S115" s="4"/>
      <c r="T115" s="4"/>
      <c r="U115" s="4"/>
      <c r="V115" s="4"/>
      <c r="W115" s="4"/>
    </row>
    <row r="116" spans="1:245" x14ac:dyDescent="0.2">
      <c r="A116" s="4">
        <v>50</v>
      </c>
      <c r="B116" s="4">
        <v>0</v>
      </c>
      <c r="C116" s="4">
        <v>0</v>
      </c>
      <c r="D116" s="4">
        <v>1</v>
      </c>
      <c r="E116" s="4">
        <v>209</v>
      </c>
      <c r="F116" s="4">
        <f>ROUND(Source!W92,O116)</f>
        <v>3329.48</v>
      </c>
      <c r="G116" s="4" t="s">
        <v>174</v>
      </c>
      <c r="H116" s="4" t="s">
        <v>175</v>
      </c>
      <c r="I116" s="4"/>
      <c r="J116" s="4"/>
      <c r="K116" s="4">
        <v>209</v>
      </c>
      <c r="L116" s="4">
        <v>23</v>
      </c>
      <c r="M116" s="4">
        <v>3</v>
      </c>
      <c r="N116" s="4" t="s">
        <v>6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45" x14ac:dyDescent="0.2">
      <c r="A117" s="4">
        <v>50</v>
      </c>
      <c r="B117" s="4">
        <v>0</v>
      </c>
      <c r="C117" s="4">
        <v>0</v>
      </c>
      <c r="D117" s="4">
        <v>1</v>
      </c>
      <c r="E117" s="4">
        <v>210</v>
      </c>
      <c r="F117" s="4">
        <f>ROUND(Source!X92,O117)</f>
        <v>132310.62</v>
      </c>
      <c r="G117" s="4" t="s">
        <v>176</v>
      </c>
      <c r="H117" s="4" t="s">
        <v>177</v>
      </c>
      <c r="I117" s="4"/>
      <c r="J117" s="4"/>
      <c r="K117" s="4">
        <v>210</v>
      </c>
      <c r="L117" s="4">
        <v>24</v>
      </c>
      <c r="M117" s="4">
        <v>3</v>
      </c>
      <c r="N117" s="4" t="s">
        <v>6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45" x14ac:dyDescent="0.2">
      <c r="A118" s="4">
        <v>50</v>
      </c>
      <c r="B118" s="4">
        <v>0</v>
      </c>
      <c r="C118" s="4">
        <v>0</v>
      </c>
      <c r="D118" s="4">
        <v>1</v>
      </c>
      <c r="E118" s="4">
        <v>211</v>
      </c>
      <c r="F118" s="4">
        <f>ROUND(Source!Y92,O118)</f>
        <v>90528.320000000007</v>
      </c>
      <c r="G118" s="4" t="s">
        <v>178</v>
      </c>
      <c r="H118" s="4" t="s">
        <v>179</v>
      </c>
      <c r="I118" s="4"/>
      <c r="J118" s="4"/>
      <c r="K118" s="4">
        <v>211</v>
      </c>
      <c r="L118" s="4">
        <v>25</v>
      </c>
      <c r="M118" s="4">
        <v>3</v>
      </c>
      <c r="N118" s="4" t="s">
        <v>6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45" x14ac:dyDescent="0.2">
      <c r="A119" s="4">
        <v>50</v>
      </c>
      <c r="B119" s="4">
        <v>0</v>
      </c>
      <c r="C119" s="4">
        <v>0</v>
      </c>
      <c r="D119" s="4">
        <v>1</v>
      </c>
      <c r="E119" s="4">
        <v>224</v>
      </c>
      <c r="F119" s="4">
        <f>ROUND(Source!AR92,O119)</f>
        <v>622350.65</v>
      </c>
      <c r="G119" s="4" t="s">
        <v>180</v>
      </c>
      <c r="H119" s="4" t="s">
        <v>181</v>
      </c>
      <c r="I119" s="4"/>
      <c r="J119" s="4"/>
      <c r="K119" s="4">
        <v>224</v>
      </c>
      <c r="L119" s="4">
        <v>26</v>
      </c>
      <c r="M119" s="4">
        <v>3</v>
      </c>
      <c r="N119" s="4" t="s">
        <v>6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1" spans="1:245" x14ac:dyDescent="0.2">
      <c r="A121" s="1">
        <v>4</v>
      </c>
      <c r="B121" s="1">
        <v>1</v>
      </c>
      <c r="C121" s="1"/>
      <c r="D121" s="1">
        <f>ROW(A128)</f>
        <v>128</v>
      </c>
      <c r="E121" s="1"/>
      <c r="F121" s="1" t="s">
        <v>27</v>
      </c>
      <c r="G121" s="1" t="s">
        <v>250</v>
      </c>
      <c r="H121" s="1" t="s">
        <v>6</v>
      </c>
      <c r="I121" s="1">
        <v>0</v>
      </c>
      <c r="J121" s="1"/>
      <c r="K121" s="1">
        <v>0</v>
      </c>
      <c r="L121" s="1"/>
      <c r="M121" s="1"/>
      <c r="N121" s="1"/>
      <c r="O121" s="1"/>
      <c r="P121" s="1"/>
      <c r="Q121" s="1"/>
      <c r="R121" s="1"/>
      <c r="S121" s="1"/>
      <c r="T121" s="1"/>
      <c r="U121" s="1" t="s">
        <v>6</v>
      </c>
      <c r="V121" s="1">
        <v>0</v>
      </c>
      <c r="W121" s="1"/>
      <c r="X121" s="1"/>
      <c r="Y121" s="1"/>
      <c r="Z121" s="1"/>
      <c r="AA121" s="1"/>
      <c r="AB121" s="1" t="s">
        <v>6</v>
      </c>
      <c r="AC121" s="1" t="s">
        <v>6</v>
      </c>
      <c r="AD121" s="1" t="s">
        <v>6</v>
      </c>
      <c r="AE121" s="1" t="s">
        <v>6</v>
      </c>
      <c r="AF121" s="1" t="s">
        <v>6</v>
      </c>
      <c r="AG121" s="1" t="s">
        <v>6</v>
      </c>
      <c r="AH121" s="1"/>
      <c r="AI121" s="1"/>
      <c r="AJ121" s="1"/>
      <c r="AK121" s="1"/>
      <c r="AL121" s="1"/>
      <c r="AM121" s="1"/>
      <c r="AN121" s="1"/>
      <c r="AO121" s="1"/>
      <c r="AP121" s="1" t="s">
        <v>6</v>
      </c>
      <c r="AQ121" s="1" t="s">
        <v>6</v>
      </c>
      <c r="AR121" s="1" t="s">
        <v>6</v>
      </c>
      <c r="AS121" s="1"/>
      <c r="AT121" s="1"/>
      <c r="AU121" s="1"/>
      <c r="AV121" s="1"/>
      <c r="AW121" s="1"/>
      <c r="AX121" s="1"/>
      <c r="AY121" s="1"/>
      <c r="AZ121" s="1" t="s">
        <v>6</v>
      </c>
      <c r="BA121" s="1"/>
      <c r="BB121" s="1" t="s">
        <v>6</v>
      </c>
      <c r="BC121" s="1" t="s">
        <v>6</v>
      </c>
      <c r="BD121" s="1" t="s">
        <v>6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6</v>
      </c>
      <c r="BK121" s="1" t="s">
        <v>6</v>
      </c>
      <c r="BL121" s="1" t="s">
        <v>6</v>
      </c>
      <c r="BM121" s="1" t="s">
        <v>6</v>
      </c>
      <c r="BN121" s="1" t="s">
        <v>6</v>
      </c>
      <c r="BO121" s="1" t="s">
        <v>6</v>
      </c>
      <c r="BP121" s="1" t="s">
        <v>6</v>
      </c>
      <c r="BQ121" s="1"/>
      <c r="BR121" s="1"/>
      <c r="BS121" s="1"/>
      <c r="BT121" s="1"/>
      <c r="BU121" s="1"/>
      <c r="BV121" s="1"/>
      <c r="BW121" s="1"/>
      <c r="BX121" s="1">
        <v>0</v>
      </c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>
        <v>0</v>
      </c>
    </row>
    <row r="123" spans="1:245" x14ac:dyDescent="0.2">
      <c r="A123" s="2">
        <v>52</v>
      </c>
      <c r="B123" s="2">
        <f t="shared" ref="B123:G123" si="104">B128</f>
        <v>1</v>
      </c>
      <c r="C123" s="2">
        <f t="shared" si="104"/>
        <v>4</v>
      </c>
      <c r="D123" s="2">
        <f t="shared" si="104"/>
        <v>121</v>
      </c>
      <c r="E123" s="2">
        <f t="shared" si="104"/>
        <v>0</v>
      </c>
      <c r="F123" s="2" t="str">
        <f t="shared" si="104"/>
        <v>Новый раздел</v>
      </c>
      <c r="G123" s="2" t="str">
        <f t="shared" si="104"/>
        <v>Пусконаладочные работы</v>
      </c>
      <c r="H123" s="2"/>
      <c r="I123" s="2"/>
      <c r="J123" s="2"/>
      <c r="K123" s="2"/>
      <c r="L123" s="2"/>
      <c r="M123" s="2"/>
      <c r="N123" s="2"/>
      <c r="O123" s="2">
        <f t="shared" ref="O123:AT123" si="105">O128</f>
        <v>8960.91</v>
      </c>
      <c r="P123" s="2">
        <f t="shared" si="105"/>
        <v>0</v>
      </c>
      <c r="Q123" s="2">
        <f t="shared" si="105"/>
        <v>0</v>
      </c>
      <c r="R123" s="2">
        <f t="shared" si="105"/>
        <v>0</v>
      </c>
      <c r="S123" s="2">
        <f t="shared" si="105"/>
        <v>8960.91</v>
      </c>
      <c r="T123" s="2">
        <f t="shared" si="105"/>
        <v>0</v>
      </c>
      <c r="U123" s="2">
        <f t="shared" si="105"/>
        <v>25.272000000000002</v>
      </c>
      <c r="V123" s="2">
        <f t="shared" si="105"/>
        <v>0</v>
      </c>
      <c r="W123" s="2">
        <f t="shared" si="105"/>
        <v>0</v>
      </c>
      <c r="X123" s="2">
        <f t="shared" si="105"/>
        <v>5824.6</v>
      </c>
      <c r="Y123" s="2">
        <f t="shared" si="105"/>
        <v>3584.37</v>
      </c>
      <c r="Z123" s="2">
        <f t="shared" si="105"/>
        <v>0</v>
      </c>
      <c r="AA123" s="2">
        <f t="shared" si="105"/>
        <v>0</v>
      </c>
      <c r="AB123" s="2">
        <f t="shared" si="105"/>
        <v>8960.91</v>
      </c>
      <c r="AC123" s="2">
        <f t="shared" si="105"/>
        <v>0</v>
      </c>
      <c r="AD123" s="2">
        <f t="shared" si="105"/>
        <v>0</v>
      </c>
      <c r="AE123" s="2">
        <f t="shared" si="105"/>
        <v>0</v>
      </c>
      <c r="AF123" s="2">
        <f t="shared" si="105"/>
        <v>8960.91</v>
      </c>
      <c r="AG123" s="2">
        <f t="shared" si="105"/>
        <v>0</v>
      </c>
      <c r="AH123" s="2">
        <f t="shared" si="105"/>
        <v>25.272000000000002</v>
      </c>
      <c r="AI123" s="2">
        <f t="shared" si="105"/>
        <v>0</v>
      </c>
      <c r="AJ123" s="2">
        <f t="shared" si="105"/>
        <v>0</v>
      </c>
      <c r="AK123" s="2">
        <f t="shared" si="105"/>
        <v>5824.6</v>
      </c>
      <c r="AL123" s="2">
        <f t="shared" si="105"/>
        <v>3584.37</v>
      </c>
      <c r="AM123" s="2">
        <f t="shared" si="105"/>
        <v>0</v>
      </c>
      <c r="AN123" s="2">
        <f t="shared" si="105"/>
        <v>0</v>
      </c>
      <c r="AO123" s="2">
        <f t="shared" si="105"/>
        <v>0</v>
      </c>
      <c r="AP123" s="2">
        <f t="shared" si="105"/>
        <v>0</v>
      </c>
      <c r="AQ123" s="2">
        <f t="shared" si="105"/>
        <v>0</v>
      </c>
      <c r="AR123" s="2">
        <f t="shared" si="105"/>
        <v>18369.88</v>
      </c>
      <c r="AS123" s="2">
        <f t="shared" si="105"/>
        <v>0</v>
      </c>
      <c r="AT123" s="2">
        <f t="shared" si="105"/>
        <v>0</v>
      </c>
      <c r="AU123" s="2">
        <f t="shared" ref="AU123:BZ123" si="106">AU128</f>
        <v>18369.88</v>
      </c>
      <c r="AV123" s="2">
        <f t="shared" si="106"/>
        <v>0</v>
      </c>
      <c r="AW123" s="2">
        <f t="shared" si="106"/>
        <v>0</v>
      </c>
      <c r="AX123" s="2">
        <f t="shared" si="106"/>
        <v>0</v>
      </c>
      <c r="AY123" s="2">
        <f t="shared" si="106"/>
        <v>0</v>
      </c>
      <c r="AZ123" s="2">
        <f t="shared" si="106"/>
        <v>0</v>
      </c>
      <c r="BA123" s="2">
        <f t="shared" si="106"/>
        <v>0</v>
      </c>
      <c r="BB123" s="2">
        <f t="shared" si="106"/>
        <v>0</v>
      </c>
      <c r="BC123" s="2">
        <f t="shared" si="106"/>
        <v>0</v>
      </c>
      <c r="BD123" s="2">
        <f t="shared" si="106"/>
        <v>0</v>
      </c>
      <c r="BE123" s="2">
        <f t="shared" si="106"/>
        <v>0</v>
      </c>
      <c r="BF123" s="2">
        <f t="shared" si="106"/>
        <v>0</v>
      </c>
      <c r="BG123" s="2">
        <f t="shared" si="106"/>
        <v>0</v>
      </c>
      <c r="BH123" s="2">
        <f t="shared" si="106"/>
        <v>0</v>
      </c>
      <c r="BI123" s="2">
        <f t="shared" si="106"/>
        <v>0</v>
      </c>
      <c r="BJ123" s="2">
        <f t="shared" si="106"/>
        <v>0</v>
      </c>
      <c r="BK123" s="2">
        <f t="shared" si="106"/>
        <v>0</v>
      </c>
      <c r="BL123" s="2">
        <f t="shared" si="106"/>
        <v>0</v>
      </c>
      <c r="BM123" s="2">
        <f t="shared" si="106"/>
        <v>0</v>
      </c>
      <c r="BN123" s="2">
        <f t="shared" si="106"/>
        <v>0</v>
      </c>
      <c r="BO123" s="2">
        <f t="shared" si="106"/>
        <v>0</v>
      </c>
      <c r="BP123" s="2">
        <f t="shared" si="106"/>
        <v>0</v>
      </c>
      <c r="BQ123" s="2">
        <f t="shared" si="106"/>
        <v>0</v>
      </c>
      <c r="BR123" s="2">
        <f t="shared" si="106"/>
        <v>0</v>
      </c>
      <c r="BS123" s="2">
        <f t="shared" si="106"/>
        <v>0</v>
      </c>
      <c r="BT123" s="2">
        <f t="shared" si="106"/>
        <v>0</v>
      </c>
      <c r="BU123" s="2">
        <f t="shared" si="106"/>
        <v>0</v>
      </c>
      <c r="BV123" s="2">
        <f t="shared" si="106"/>
        <v>0</v>
      </c>
      <c r="BW123" s="2">
        <f t="shared" si="106"/>
        <v>0</v>
      </c>
      <c r="BX123" s="2">
        <f t="shared" si="106"/>
        <v>0</v>
      </c>
      <c r="BY123" s="2">
        <f t="shared" si="106"/>
        <v>0</v>
      </c>
      <c r="BZ123" s="2">
        <f t="shared" si="106"/>
        <v>0</v>
      </c>
      <c r="CA123" s="2">
        <f t="shared" ref="CA123:DF123" si="107">CA128</f>
        <v>18369.88</v>
      </c>
      <c r="CB123" s="2">
        <f t="shared" si="107"/>
        <v>0</v>
      </c>
      <c r="CC123" s="2">
        <f t="shared" si="107"/>
        <v>0</v>
      </c>
      <c r="CD123" s="2">
        <f t="shared" si="107"/>
        <v>18369.88</v>
      </c>
      <c r="CE123" s="2">
        <f t="shared" si="107"/>
        <v>0</v>
      </c>
      <c r="CF123" s="2">
        <f t="shared" si="107"/>
        <v>0</v>
      </c>
      <c r="CG123" s="2">
        <f t="shared" si="107"/>
        <v>0</v>
      </c>
      <c r="CH123" s="2">
        <f t="shared" si="107"/>
        <v>0</v>
      </c>
      <c r="CI123" s="2">
        <f t="shared" si="107"/>
        <v>0</v>
      </c>
      <c r="CJ123" s="2">
        <f t="shared" si="107"/>
        <v>0</v>
      </c>
      <c r="CK123" s="2">
        <f t="shared" si="107"/>
        <v>0</v>
      </c>
      <c r="CL123" s="2">
        <f t="shared" si="107"/>
        <v>0</v>
      </c>
      <c r="CM123" s="2">
        <f t="shared" si="107"/>
        <v>0</v>
      </c>
      <c r="CN123" s="2">
        <f t="shared" si="107"/>
        <v>0</v>
      </c>
      <c r="CO123" s="2">
        <f t="shared" si="107"/>
        <v>0</v>
      </c>
      <c r="CP123" s="2">
        <f t="shared" si="107"/>
        <v>0</v>
      </c>
      <c r="CQ123" s="2">
        <f t="shared" si="107"/>
        <v>0</v>
      </c>
      <c r="CR123" s="2">
        <f t="shared" si="107"/>
        <v>0</v>
      </c>
      <c r="CS123" s="2">
        <f t="shared" si="107"/>
        <v>0</v>
      </c>
      <c r="CT123" s="2">
        <f t="shared" si="107"/>
        <v>0</v>
      </c>
      <c r="CU123" s="2">
        <f t="shared" si="107"/>
        <v>0</v>
      </c>
      <c r="CV123" s="2">
        <f t="shared" si="107"/>
        <v>0</v>
      </c>
      <c r="CW123" s="2">
        <f t="shared" si="107"/>
        <v>0</v>
      </c>
      <c r="CX123" s="2">
        <f t="shared" si="107"/>
        <v>0</v>
      </c>
      <c r="CY123" s="2">
        <f t="shared" si="107"/>
        <v>0</v>
      </c>
      <c r="CZ123" s="2">
        <f t="shared" si="107"/>
        <v>0</v>
      </c>
      <c r="DA123" s="2">
        <f t="shared" si="107"/>
        <v>0</v>
      </c>
      <c r="DB123" s="2">
        <f t="shared" si="107"/>
        <v>0</v>
      </c>
      <c r="DC123" s="2">
        <f t="shared" si="107"/>
        <v>0</v>
      </c>
      <c r="DD123" s="2">
        <f t="shared" si="107"/>
        <v>0</v>
      </c>
      <c r="DE123" s="2">
        <f t="shared" si="107"/>
        <v>0</v>
      </c>
      <c r="DF123" s="2">
        <f t="shared" si="107"/>
        <v>0</v>
      </c>
      <c r="DG123" s="3">
        <f t="shared" ref="DG123:EL123" si="108">DG128</f>
        <v>0</v>
      </c>
      <c r="DH123" s="3">
        <f t="shared" si="108"/>
        <v>0</v>
      </c>
      <c r="DI123" s="3">
        <f t="shared" si="108"/>
        <v>0</v>
      </c>
      <c r="DJ123" s="3">
        <f t="shared" si="108"/>
        <v>0</v>
      </c>
      <c r="DK123" s="3">
        <f t="shared" si="108"/>
        <v>0</v>
      </c>
      <c r="DL123" s="3">
        <f t="shared" si="108"/>
        <v>0</v>
      </c>
      <c r="DM123" s="3">
        <f t="shared" si="108"/>
        <v>0</v>
      </c>
      <c r="DN123" s="3">
        <f t="shared" si="108"/>
        <v>0</v>
      </c>
      <c r="DO123" s="3">
        <f t="shared" si="108"/>
        <v>0</v>
      </c>
      <c r="DP123" s="3">
        <f t="shared" si="108"/>
        <v>0</v>
      </c>
      <c r="DQ123" s="3">
        <f t="shared" si="108"/>
        <v>0</v>
      </c>
      <c r="DR123" s="3">
        <f t="shared" si="108"/>
        <v>0</v>
      </c>
      <c r="DS123" s="3">
        <f t="shared" si="108"/>
        <v>0</v>
      </c>
      <c r="DT123" s="3">
        <f t="shared" si="108"/>
        <v>0</v>
      </c>
      <c r="DU123" s="3">
        <f t="shared" si="108"/>
        <v>0</v>
      </c>
      <c r="DV123" s="3">
        <f t="shared" si="108"/>
        <v>0</v>
      </c>
      <c r="DW123" s="3">
        <f t="shared" si="108"/>
        <v>0</v>
      </c>
      <c r="DX123" s="3">
        <f t="shared" si="108"/>
        <v>0</v>
      </c>
      <c r="DY123" s="3">
        <f t="shared" si="108"/>
        <v>0</v>
      </c>
      <c r="DZ123" s="3">
        <f t="shared" si="108"/>
        <v>0</v>
      </c>
      <c r="EA123" s="3">
        <f t="shared" si="108"/>
        <v>0</v>
      </c>
      <c r="EB123" s="3">
        <f t="shared" si="108"/>
        <v>0</v>
      </c>
      <c r="EC123" s="3">
        <f t="shared" si="108"/>
        <v>0</v>
      </c>
      <c r="ED123" s="3">
        <f t="shared" si="108"/>
        <v>0</v>
      </c>
      <c r="EE123" s="3">
        <f t="shared" si="108"/>
        <v>0</v>
      </c>
      <c r="EF123" s="3">
        <f t="shared" si="108"/>
        <v>0</v>
      </c>
      <c r="EG123" s="3">
        <f t="shared" si="108"/>
        <v>0</v>
      </c>
      <c r="EH123" s="3">
        <f t="shared" si="108"/>
        <v>0</v>
      </c>
      <c r="EI123" s="3">
        <f t="shared" si="108"/>
        <v>0</v>
      </c>
      <c r="EJ123" s="3">
        <f t="shared" si="108"/>
        <v>0</v>
      </c>
      <c r="EK123" s="3">
        <f t="shared" si="108"/>
        <v>0</v>
      </c>
      <c r="EL123" s="3">
        <f t="shared" si="108"/>
        <v>0</v>
      </c>
      <c r="EM123" s="3">
        <f t="shared" ref="EM123:FR123" si="109">EM128</f>
        <v>0</v>
      </c>
      <c r="EN123" s="3">
        <f t="shared" si="109"/>
        <v>0</v>
      </c>
      <c r="EO123" s="3">
        <f t="shared" si="109"/>
        <v>0</v>
      </c>
      <c r="EP123" s="3">
        <f t="shared" si="109"/>
        <v>0</v>
      </c>
      <c r="EQ123" s="3">
        <f t="shared" si="109"/>
        <v>0</v>
      </c>
      <c r="ER123" s="3">
        <f t="shared" si="109"/>
        <v>0</v>
      </c>
      <c r="ES123" s="3">
        <f t="shared" si="109"/>
        <v>0</v>
      </c>
      <c r="ET123" s="3">
        <f t="shared" si="109"/>
        <v>0</v>
      </c>
      <c r="EU123" s="3">
        <f t="shared" si="109"/>
        <v>0</v>
      </c>
      <c r="EV123" s="3">
        <f t="shared" si="109"/>
        <v>0</v>
      </c>
      <c r="EW123" s="3">
        <f t="shared" si="109"/>
        <v>0</v>
      </c>
      <c r="EX123" s="3">
        <f t="shared" si="109"/>
        <v>0</v>
      </c>
      <c r="EY123" s="3">
        <f t="shared" si="109"/>
        <v>0</v>
      </c>
      <c r="EZ123" s="3">
        <f t="shared" si="109"/>
        <v>0</v>
      </c>
      <c r="FA123" s="3">
        <f t="shared" si="109"/>
        <v>0</v>
      </c>
      <c r="FB123" s="3">
        <f t="shared" si="109"/>
        <v>0</v>
      </c>
      <c r="FC123" s="3">
        <f t="shared" si="109"/>
        <v>0</v>
      </c>
      <c r="FD123" s="3">
        <f t="shared" si="109"/>
        <v>0</v>
      </c>
      <c r="FE123" s="3">
        <f t="shared" si="109"/>
        <v>0</v>
      </c>
      <c r="FF123" s="3">
        <f t="shared" si="109"/>
        <v>0</v>
      </c>
      <c r="FG123" s="3">
        <f t="shared" si="109"/>
        <v>0</v>
      </c>
      <c r="FH123" s="3">
        <f t="shared" si="109"/>
        <v>0</v>
      </c>
      <c r="FI123" s="3">
        <f t="shared" si="109"/>
        <v>0</v>
      </c>
      <c r="FJ123" s="3">
        <f t="shared" si="109"/>
        <v>0</v>
      </c>
      <c r="FK123" s="3">
        <f t="shared" si="109"/>
        <v>0</v>
      </c>
      <c r="FL123" s="3">
        <f t="shared" si="109"/>
        <v>0</v>
      </c>
      <c r="FM123" s="3">
        <f t="shared" si="109"/>
        <v>0</v>
      </c>
      <c r="FN123" s="3">
        <f t="shared" si="109"/>
        <v>0</v>
      </c>
      <c r="FO123" s="3">
        <f t="shared" si="109"/>
        <v>0</v>
      </c>
      <c r="FP123" s="3">
        <f t="shared" si="109"/>
        <v>0</v>
      </c>
      <c r="FQ123" s="3">
        <f t="shared" si="109"/>
        <v>0</v>
      </c>
      <c r="FR123" s="3">
        <f t="shared" si="109"/>
        <v>0</v>
      </c>
      <c r="FS123" s="3">
        <f t="shared" ref="FS123:GX123" si="110">FS128</f>
        <v>0</v>
      </c>
      <c r="FT123" s="3">
        <f t="shared" si="110"/>
        <v>0</v>
      </c>
      <c r="FU123" s="3">
        <f t="shared" si="110"/>
        <v>0</v>
      </c>
      <c r="FV123" s="3">
        <f t="shared" si="110"/>
        <v>0</v>
      </c>
      <c r="FW123" s="3">
        <f t="shared" si="110"/>
        <v>0</v>
      </c>
      <c r="FX123" s="3">
        <f t="shared" si="110"/>
        <v>0</v>
      </c>
      <c r="FY123" s="3">
        <f t="shared" si="110"/>
        <v>0</v>
      </c>
      <c r="FZ123" s="3">
        <f t="shared" si="110"/>
        <v>0</v>
      </c>
      <c r="GA123" s="3">
        <f t="shared" si="110"/>
        <v>0</v>
      </c>
      <c r="GB123" s="3">
        <f t="shared" si="110"/>
        <v>0</v>
      </c>
      <c r="GC123" s="3">
        <f t="shared" si="110"/>
        <v>0</v>
      </c>
      <c r="GD123" s="3">
        <f t="shared" si="110"/>
        <v>0</v>
      </c>
      <c r="GE123" s="3">
        <f t="shared" si="110"/>
        <v>0</v>
      </c>
      <c r="GF123" s="3">
        <f t="shared" si="110"/>
        <v>0</v>
      </c>
      <c r="GG123" s="3">
        <f t="shared" si="110"/>
        <v>0</v>
      </c>
      <c r="GH123" s="3">
        <f t="shared" si="110"/>
        <v>0</v>
      </c>
      <c r="GI123" s="3">
        <f t="shared" si="110"/>
        <v>0</v>
      </c>
      <c r="GJ123" s="3">
        <f t="shared" si="110"/>
        <v>0</v>
      </c>
      <c r="GK123" s="3">
        <f t="shared" si="110"/>
        <v>0</v>
      </c>
      <c r="GL123" s="3">
        <f t="shared" si="110"/>
        <v>0</v>
      </c>
      <c r="GM123" s="3">
        <f t="shared" si="110"/>
        <v>0</v>
      </c>
      <c r="GN123" s="3">
        <f t="shared" si="110"/>
        <v>0</v>
      </c>
      <c r="GO123" s="3">
        <f t="shared" si="110"/>
        <v>0</v>
      </c>
      <c r="GP123" s="3">
        <f t="shared" si="110"/>
        <v>0</v>
      </c>
      <c r="GQ123" s="3">
        <f t="shared" si="110"/>
        <v>0</v>
      </c>
      <c r="GR123" s="3">
        <f t="shared" si="110"/>
        <v>0</v>
      </c>
      <c r="GS123" s="3">
        <f t="shared" si="110"/>
        <v>0</v>
      </c>
      <c r="GT123" s="3">
        <f t="shared" si="110"/>
        <v>0</v>
      </c>
      <c r="GU123" s="3">
        <f t="shared" si="110"/>
        <v>0</v>
      </c>
      <c r="GV123" s="3">
        <f t="shared" si="110"/>
        <v>0</v>
      </c>
      <c r="GW123" s="3">
        <f t="shared" si="110"/>
        <v>0</v>
      </c>
      <c r="GX123" s="3">
        <f t="shared" si="110"/>
        <v>0</v>
      </c>
    </row>
    <row r="125" spans="1:245" x14ac:dyDescent="0.2">
      <c r="A125">
        <v>17</v>
      </c>
      <c r="B125">
        <v>1</v>
      </c>
      <c r="C125">
        <f>ROW(SmtRes!A118)</f>
        <v>118</v>
      </c>
      <c r="D125">
        <f>ROW(EtalonRes!A111)</f>
        <v>111</v>
      </c>
      <c r="E125" t="s">
        <v>251</v>
      </c>
      <c r="F125" t="s">
        <v>252</v>
      </c>
      <c r="G125" t="s">
        <v>253</v>
      </c>
      <c r="H125" t="s">
        <v>254</v>
      </c>
      <c r="I125">
        <v>3</v>
      </c>
      <c r="J125">
        <v>0</v>
      </c>
      <c r="O125">
        <f>ROUND(CP125,2)</f>
        <v>6530.47</v>
      </c>
      <c r="P125">
        <f>ROUND(CQ125*I125,2)</f>
        <v>0</v>
      </c>
      <c r="Q125">
        <f>ROUND(CR125*I125,2)</f>
        <v>0</v>
      </c>
      <c r="R125">
        <f>ROUND(CS125*I125,2)</f>
        <v>0</v>
      </c>
      <c r="S125">
        <f>ROUND(CT125*I125,2)</f>
        <v>6530.47</v>
      </c>
      <c r="T125">
        <f>ROUND(CU125*I125,2)</f>
        <v>0</v>
      </c>
      <c r="U125">
        <f>CV125*I125</f>
        <v>18.954000000000001</v>
      </c>
      <c r="V125">
        <f>CW125*I125</f>
        <v>0</v>
      </c>
      <c r="W125">
        <f>ROUND(CX125*I125,2)</f>
        <v>0</v>
      </c>
      <c r="X125">
        <f>ROUND(CY125,2)</f>
        <v>4244.8100000000004</v>
      </c>
      <c r="Y125">
        <f>ROUND(CZ125,2)</f>
        <v>2612.19</v>
      </c>
      <c r="AA125">
        <v>48276314</v>
      </c>
      <c r="AB125">
        <f>ROUND((AC125+AD125+AF125),2)</f>
        <v>72.44</v>
      </c>
      <c r="AC125">
        <f>ROUND((ES125),2)</f>
        <v>0</v>
      </c>
      <c r="AD125">
        <f>ROUND((((ET125)-(EU125))+AE125),2)</f>
        <v>0</v>
      </c>
      <c r="AE125">
        <f>ROUND((EU125),2)</f>
        <v>0</v>
      </c>
      <c r="AF125">
        <f>ROUND(((EV125*1.3)),2)</f>
        <v>72.44</v>
      </c>
      <c r="AG125">
        <f>ROUND((AP125),2)</f>
        <v>0</v>
      </c>
      <c r="AH125">
        <f>((EW125*1.3))</f>
        <v>6.3180000000000005</v>
      </c>
      <c r="AI125">
        <f>(EX125)</f>
        <v>0</v>
      </c>
      <c r="AJ125">
        <f>(AS125)</f>
        <v>0</v>
      </c>
      <c r="AK125">
        <v>55.72</v>
      </c>
      <c r="AL125">
        <v>0</v>
      </c>
      <c r="AM125">
        <v>0</v>
      </c>
      <c r="AN125">
        <v>0</v>
      </c>
      <c r="AO125">
        <v>55.72</v>
      </c>
      <c r="AP125">
        <v>0</v>
      </c>
      <c r="AQ125">
        <v>4.8600000000000003</v>
      </c>
      <c r="AR125">
        <v>0</v>
      </c>
      <c r="AS125">
        <v>0</v>
      </c>
      <c r="AT125">
        <v>65</v>
      </c>
      <c r="AU125">
        <v>40</v>
      </c>
      <c r="AV125">
        <v>1</v>
      </c>
      <c r="AW125">
        <v>1</v>
      </c>
      <c r="AZ125">
        <v>1</v>
      </c>
      <c r="BA125">
        <v>30.05</v>
      </c>
      <c r="BB125">
        <v>1</v>
      </c>
      <c r="BC125">
        <v>1</v>
      </c>
      <c r="BD125" t="s">
        <v>6</v>
      </c>
      <c r="BE125" t="s">
        <v>6</v>
      </c>
      <c r="BF125" t="s">
        <v>6</v>
      </c>
      <c r="BG125" t="s">
        <v>6</v>
      </c>
      <c r="BH125">
        <v>0</v>
      </c>
      <c r="BI125">
        <v>4</v>
      </c>
      <c r="BJ125" t="s">
        <v>255</v>
      </c>
      <c r="BM125">
        <v>200001</v>
      </c>
      <c r="BN125">
        <v>0</v>
      </c>
      <c r="BO125" t="s">
        <v>6</v>
      </c>
      <c r="BP125">
        <v>0</v>
      </c>
      <c r="BQ125">
        <v>4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65</v>
      </c>
      <c r="CA125">
        <v>40</v>
      </c>
      <c r="CE125">
        <v>0</v>
      </c>
      <c r="CF125">
        <v>0</v>
      </c>
      <c r="CG125">
        <v>0</v>
      </c>
      <c r="CM125">
        <v>0</v>
      </c>
      <c r="CN125" t="s">
        <v>256</v>
      </c>
      <c r="CO125">
        <v>0</v>
      </c>
      <c r="CP125">
        <f>(P125+Q125+S125)</f>
        <v>6530.47</v>
      </c>
      <c r="CQ125">
        <f>AC125*BC125</f>
        <v>0</v>
      </c>
      <c r="CR125">
        <f>AD125*BB125</f>
        <v>0</v>
      </c>
      <c r="CS125">
        <f>AE125*BS125</f>
        <v>0</v>
      </c>
      <c r="CT125">
        <f>AF125*BA125</f>
        <v>2176.8220000000001</v>
      </c>
      <c r="CU125">
        <f t="shared" ref="CU125:CX126" si="111">AG125</f>
        <v>0</v>
      </c>
      <c r="CV125">
        <f t="shared" si="111"/>
        <v>6.3180000000000005</v>
      </c>
      <c r="CW125">
        <f t="shared" si="111"/>
        <v>0</v>
      </c>
      <c r="CX125">
        <f t="shared" si="111"/>
        <v>0</v>
      </c>
      <c r="CY125">
        <f>(((S125+R125)*AT125)/100)</f>
        <v>4244.8054999999995</v>
      </c>
      <c r="CZ125">
        <f>(((S125+R125)*AU125)/100)</f>
        <v>2612.1880000000001</v>
      </c>
      <c r="DC125" t="s">
        <v>6</v>
      </c>
      <c r="DD125" t="s">
        <v>6</v>
      </c>
      <c r="DE125" t="s">
        <v>6</v>
      </c>
      <c r="DF125" t="s">
        <v>6</v>
      </c>
      <c r="DG125" t="s">
        <v>257</v>
      </c>
      <c r="DH125" t="s">
        <v>6</v>
      </c>
      <c r="DI125" t="s">
        <v>257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254</v>
      </c>
      <c r="DW125" t="s">
        <v>254</v>
      </c>
      <c r="DX125">
        <v>1</v>
      </c>
      <c r="EE125">
        <v>39495442</v>
      </c>
      <c r="EF125">
        <v>4</v>
      </c>
      <c r="EG125" t="s">
        <v>250</v>
      </c>
      <c r="EH125">
        <v>0</v>
      </c>
      <c r="EI125" t="s">
        <v>6</v>
      </c>
      <c r="EJ125">
        <v>4</v>
      </c>
      <c r="EK125">
        <v>200001</v>
      </c>
      <c r="EL125" t="s">
        <v>258</v>
      </c>
      <c r="EM125" t="s">
        <v>259</v>
      </c>
      <c r="EO125" t="s">
        <v>260</v>
      </c>
      <c r="EQ125">
        <v>0</v>
      </c>
      <c r="ER125">
        <v>55.72</v>
      </c>
      <c r="ES125">
        <v>0</v>
      </c>
      <c r="ET125">
        <v>0</v>
      </c>
      <c r="EU125">
        <v>0</v>
      </c>
      <c r="EV125">
        <v>55.72</v>
      </c>
      <c r="EW125">
        <v>4.8600000000000003</v>
      </c>
      <c r="EX125">
        <v>0</v>
      </c>
      <c r="EY125">
        <v>0</v>
      </c>
      <c r="FQ125">
        <v>0</v>
      </c>
      <c r="FR125">
        <f>ROUND(IF(AND(BH125=3,BI125=3),P125,0),2)</f>
        <v>0</v>
      </c>
      <c r="FS125">
        <v>0</v>
      </c>
      <c r="FX125">
        <v>65</v>
      </c>
      <c r="FY125">
        <v>40</v>
      </c>
      <c r="GA125" t="s">
        <v>6</v>
      </c>
      <c r="GD125">
        <v>1</v>
      </c>
      <c r="GF125">
        <v>-1844967371</v>
      </c>
      <c r="GG125">
        <v>2</v>
      </c>
      <c r="GH125">
        <v>1</v>
      </c>
      <c r="GI125">
        <v>2</v>
      </c>
      <c r="GJ125">
        <v>0</v>
      </c>
      <c r="GK125">
        <v>0</v>
      </c>
      <c r="GL125">
        <f>ROUND(IF(AND(BH125=3,BI125=3,FS125&lt;&gt;0),P125,0),2)</f>
        <v>0</v>
      </c>
      <c r="GM125">
        <f>ROUND(O125+X125+Y125,2)+GX125</f>
        <v>13387.47</v>
      </c>
      <c r="GN125">
        <f>IF(OR(BI125=0,BI125=1),ROUND(O125+X125+Y125,2),0)</f>
        <v>0</v>
      </c>
      <c r="GO125">
        <f>IF(BI125=2,ROUND(O125+X125+Y125,2),0)</f>
        <v>0</v>
      </c>
      <c r="GP125">
        <f>IF(BI125=4,ROUND(O125+X125+Y125,2)+GX125,0)</f>
        <v>13387.47</v>
      </c>
      <c r="GR125">
        <v>0</v>
      </c>
      <c r="GS125">
        <v>0</v>
      </c>
      <c r="GT125">
        <v>0</v>
      </c>
      <c r="GU125" t="s">
        <v>6</v>
      </c>
      <c r="GV125">
        <f>ROUND((GT125),2)</f>
        <v>0</v>
      </c>
      <c r="GW125">
        <v>1</v>
      </c>
      <c r="GX125">
        <f>ROUND(HC125*I125,2)</f>
        <v>0</v>
      </c>
      <c r="HA125">
        <v>0</v>
      </c>
      <c r="HB125">
        <v>0</v>
      </c>
      <c r="HC125">
        <f>GV125*GW125</f>
        <v>0</v>
      </c>
      <c r="IK125">
        <v>0</v>
      </c>
    </row>
    <row r="126" spans="1:245" x14ac:dyDescent="0.2">
      <c r="A126">
        <v>17</v>
      </c>
      <c r="B126">
        <v>1</v>
      </c>
      <c r="C126">
        <f>ROW(SmtRes!A120)</f>
        <v>120</v>
      </c>
      <c r="D126">
        <f>ROW(EtalonRes!A113)</f>
        <v>113</v>
      </c>
      <c r="E126" t="s">
        <v>261</v>
      </c>
      <c r="F126" t="s">
        <v>262</v>
      </c>
      <c r="G126" t="s">
        <v>263</v>
      </c>
      <c r="H126" t="s">
        <v>264</v>
      </c>
      <c r="I126">
        <v>3</v>
      </c>
      <c r="J126">
        <v>0</v>
      </c>
      <c r="O126">
        <f>ROUND(CP126,2)</f>
        <v>2430.44</v>
      </c>
      <c r="P126">
        <f>ROUND(CQ126*I126,2)</f>
        <v>0</v>
      </c>
      <c r="Q126">
        <f>ROUND(CR126*I126,2)</f>
        <v>0</v>
      </c>
      <c r="R126">
        <f>ROUND(CS126*I126,2)</f>
        <v>0</v>
      </c>
      <c r="S126">
        <f>ROUND(CT126*I126,2)</f>
        <v>2430.44</v>
      </c>
      <c r="T126">
        <f>ROUND(CU126*I126,2)</f>
        <v>0</v>
      </c>
      <c r="U126">
        <f>CV126*I126</f>
        <v>6.3180000000000014</v>
      </c>
      <c r="V126">
        <f>CW126*I126</f>
        <v>0</v>
      </c>
      <c r="W126">
        <f>ROUND(CX126*I126,2)</f>
        <v>0</v>
      </c>
      <c r="X126">
        <f>ROUND(CY126,2)</f>
        <v>1579.79</v>
      </c>
      <c r="Y126">
        <f>ROUND(CZ126,2)</f>
        <v>972.18</v>
      </c>
      <c r="AA126">
        <v>48276314</v>
      </c>
      <c r="AB126">
        <f>ROUND((AC126+AD126+AF126),2)</f>
        <v>26.96</v>
      </c>
      <c r="AC126">
        <f>ROUND((ES126),2)</f>
        <v>0</v>
      </c>
      <c r="AD126">
        <f>ROUND((((ET126)-(EU126))+AE126),2)</f>
        <v>0</v>
      </c>
      <c r="AE126">
        <f>ROUND((EU126),2)</f>
        <v>0</v>
      </c>
      <c r="AF126">
        <f>ROUND(((EV126*1.3)),2)</f>
        <v>26.96</v>
      </c>
      <c r="AG126">
        <f>ROUND((AP126),2)</f>
        <v>0</v>
      </c>
      <c r="AH126">
        <f>((EW126*1.3))</f>
        <v>2.1060000000000003</v>
      </c>
      <c r="AI126">
        <f>(EX126)</f>
        <v>0</v>
      </c>
      <c r="AJ126">
        <f>(AS126)</f>
        <v>0</v>
      </c>
      <c r="AK126">
        <v>20.74</v>
      </c>
      <c r="AL126">
        <v>0</v>
      </c>
      <c r="AM126">
        <v>0</v>
      </c>
      <c r="AN126">
        <v>0</v>
      </c>
      <c r="AO126">
        <v>20.74</v>
      </c>
      <c r="AP126">
        <v>0</v>
      </c>
      <c r="AQ126">
        <v>1.62</v>
      </c>
      <c r="AR126">
        <v>0</v>
      </c>
      <c r="AS126">
        <v>0</v>
      </c>
      <c r="AT126">
        <v>65</v>
      </c>
      <c r="AU126">
        <v>40</v>
      </c>
      <c r="AV126">
        <v>1</v>
      </c>
      <c r="AW126">
        <v>1</v>
      </c>
      <c r="AZ126">
        <v>1</v>
      </c>
      <c r="BA126">
        <v>30.05</v>
      </c>
      <c r="BB126">
        <v>1</v>
      </c>
      <c r="BC126">
        <v>1</v>
      </c>
      <c r="BD126" t="s">
        <v>6</v>
      </c>
      <c r="BE126" t="s">
        <v>6</v>
      </c>
      <c r="BF126" t="s">
        <v>6</v>
      </c>
      <c r="BG126" t="s">
        <v>6</v>
      </c>
      <c r="BH126">
        <v>0</v>
      </c>
      <c r="BI126">
        <v>4</v>
      </c>
      <c r="BJ126" t="s">
        <v>265</v>
      </c>
      <c r="BM126">
        <v>200001</v>
      </c>
      <c r="BN126">
        <v>0</v>
      </c>
      <c r="BO126" t="s">
        <v>6</v>
      </c>
      <c r="BP126">
        <v>0</v>
      </c>
      <c r="BQ126">
        <v>4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6</v>
      </c>
      <c r="BZ126">
        <v>65</v>
      </c>
      <c r="CA126">
        <v>40</v>
      </c>
      <c r="CE126">
        <v>0</v>
      </c>
      <c r="CF126">
        <v>0</v>
      </c>
      <c r="CG126">
        <v>0</v>
      </c>
      <c r="CM126">
        <v>0</v>
      </c>
      <c r="CN126" t="s">
        <v>256</v>
      </c>
      <c r="CO126">
        <v>0</v>
      </c>
      <c r="CP126">
        <f>(P126+Q126+S126)</f>
        <v>2430.44</v>
      </c>
      <c r="CQ126">
        <f>AC126*BC126</f>
        <v>0</v>
      </c>
      <c r="CR126">
        <f>AD126*BB126</f>
        <v>0</v>
      </c>
      <c r="CS126">
        <f>AE126*BS126</f>
        <v>0</v>
      </c>
      <c r="CT126">
        <f>AF126*BA126</f>
        <v>810.14800000000002</v>
      </c>
      <c r="CU126">
        <f t="shared" si="111"/>
        <v>0</v>
      </c>
      <c r="CV126">
        <f t="shared" si="111"/>
        <v>2.1060000000000003</v>
      </c>
      <c r="CW126">
        <f t="shared" si="111"/>
        <v>0</v>
      </c>
      <c r="CX126">
        <f t="shared" si="111"/>
        <v>0</v>
      </c>
      <c r="CY126">
        <f>(((S126+R126)*AT126)/100)</f>
        <v>1579.7860000000001</v>
      </c>
      <c r="CZ126">
        <f>(((S126+R126)*AU126)/100)</f>
        <v>972.17600000000004</v>
      </c>
      <c r="DC126" t="s">
        <v>6</v>
      </c>
      <c r="DD126" t="s">
        <v>6</v>
      </c>
      <c r="DE126" t="s">
        <v>6</v>
      </c>
      <c r="DF126" t="s">
        <v>6</v>
      </c>
      <c r="DG126" t="s">
        <v>257</v>
      </c>
      <c r="DH126" t="s">
        <v>6</v>
      </c>
      <c r="DI126" t="s">
        <v>257</v>
      </c>
      <c r="DJ126" t="s">
        <v>6</v>
      </c>
      <c r="DK126" t="s">
        <v>6</v>
      </c>
      <c r="DL126" t="s">
        <v>6</v>
      </c>
      <c r="DM126" t="s">
        <v>6</v>
      </c>
      <c r="DN126">
        <v>0</v>
      </c>
      <c r="DO126">
        <v>0</v>
      </c>
      <c r="DP126">
        <v>1</v>
      </c>
      <c r="DQ126">
        <v>1</v>
      </c>
      <c r="DU126">
        <v>1013</v>
      </c>
      <c r="DV126" t="s">
        <v>264</v>
      </c>
      <c r="DW126" t="s">
        <v>264</v>
      </c>
      <c r="DX126">
        <v>1</v>
      </c>
      <c r="EE126">
        <v>39495442</v>
      </c>
      <c r="EF126">
        <v>4</v>
      </c>
      <c r="EG126" t="s">
        <v>250</v>
      </c>
      <c r="EH126">
        <v>0</v>
      </c>
      <c r="EI126" t="s">
        <v>6</v>
      </c>
      <c r="EJ126">
        <v>4</v>
      </c>
      <c r="EK126">
        <v>200001</v>
      </c>
      <c r="EL126" t="s">
        <v>258</v>
      </c>
      <c r="EM126" t="s">
        <v>259</v>
      </c>
      <c r="EO126" t="s">
        <v>260</v>
      </c>
      <c r="EQ126">
        <v>0</v>
      </c>
      <c r="ER126">
        <v>20.74</v>
      </c>
      <c r="ES126">
        <v>0</v>
      </c>
      <c r="ET126">
        <v>0</v>
      </c>
      <c r="EU126">
        <v>0</v>
      </c>
      <c r="EV126">
        <v>20.74</v>
      </c>
      <c r="EW126">
        <v>1.62</v>
      </c>
      <c r="EX126">
        <v>0</v>
      </c>
      <c r="EY126">
        <v>0</v>
      </c>
      <c r="FQ126">
        <v>0</v>
      </c>
      <c r="FR126">
        <f>ROUND(IF(AND(BH126=3,BI126=3),P126,0),2)</f>
        <v>0</v>
      </c>
      <c r="FS126">
        <v>0</v>
      </c>
      <c r="FX126">
        <v>65</v>
      </c>
      <c r="FY126">
        <v>40</v>
      </c>
      <c r="GA126" t="s">
        <v>6</v>
      </c>
      <c r="GD126">
        <v>1</v>
      </c>
      <c r="GF126">
        <v>3000413</v>
      </c>
      <c r="GG126">
        <v>2</v>
      </c>
      <c r="GH126">
        <v>1</v>
      </c>
      <c r="GI126">
        <v>2</v>
      </c>
      <c r="GJ126">
        <v>0</v>
      </c>
      <c r="GK126">
        <v>0</v>
      </c>
      <c r="GL126">
        <f>ROUND(IF(AND(BH126=3,BI126=3,FS126&lt;&gt;0),P126,0),2)</f>
        <v>0</v>
      </c>
      <c r="GM126">
        <f>ROUND(O126+X126+Y126,2)+GX126</f>
        <v>4982.41</v>
      </c>
      <c r="GN126">
        <f>IF(OR(BI126=0,BI126=1),ROUND(O126+X126+Y126,2),0)</f>
        <v>0</v>
      </c>
      <c r="GO126">
        <f>IF(BI126=2,ROUND(O126+X126+Y126,2),0)</f>
        <v>0</v>
      </c>
      <c r="GP126">
        <f>IF(BI126=4,ROUND(O126+X126+Y126,2)+GX126,0)</f>
        <v>4982.41</v>
      </c>
      <c r="GR126">
        <v>0</v>
      </c>
      <c r="GS126">
        <v>0</v>
      </c>
      <c r="GT126">
        <v>0</v>
      </c>
      <c r="GU126" t="s">
        <v>6</v>
      </c>
      <c r="GV126">
        <f>ROUND((GT126),2)</f>
        <v>0</v>
      </c>
      <c r="GW126">
        <v>1</v>
      </c>
      <c r="GX126">
        <f>ROUND(HC126*I126,2)</f>
        <v>0</v>
      </c>
      <c r="HA126">
        <v>0</v>
      </c>
      <c r="HB126">
        <v>0</v>
      </c>
      <c r="HC126">
        <f>GV126*GW126</f>
        <v>0</v>
      </c>
      <c r="IK126">
        <v>0</v>
      </c>
    </row>
    <row r="128" spans="1:245" x14ac:dyDescent="0.2">
      <c r="A128" s="2">
        <v>51</v>
      </c>
      <c r="B128" s="2">
        <f>B121</f>
        <v>1</v>
      </c>
      <c r="C128" s="2">
        <f>A121</f>
        <v>4</v>
      </c>
      <c r="D128" s="2">
        <f>ROW(A121)</f>
        <v>121</v>
      </c>
      <c r="E128" s="2"/>
      <c r="F128" s="2" t="str">
        <f>IF(F121&lt;&gt;"",F121,"")</f>
        <v>Новый раздел</v>
      </c>
      <c r="G128" s="2" t="str">
        <f>IF(G121&lt;&gt;"",G121,"")</f>
        <v>Пусконаладочные работы</v>
      </c>
      <c r="H128" s="2">
        <v>0</v>
      </c>
      <c r="I128" s="2"/>
      <c r="J128" s="2"/>
      <c r="K128" s="2"/>
      <c r="L128" s="2"/>
      <c r="M128" s="2"/>
      <c r="N128" s="2"/>
      <c r="O128" s="2">
        <f t="shared" ref="O128:T128" si="112">ROUND(AB128,2)</f>
        <v>8960.91</v>
      </c>
      <c r="P128" s="2">
        <f t="shared" si="112"/>
        <v>0</v>
      </c>
      <c r="Q128" s="2">
        <f t="shared" si="112"/>
        <v>0</v>
      </c>
      <c r="R128" s="2">
        <f t="shared" si="112"/>
        <v>0</v>
      </c>
      <c r="S128" s="2">
        <f t="shared" si="112"/>
        <v>8960.91</v>
      </c>
      <c r="T128" s="2">
        <f t="shared" si="112"/>
        <v>0</v>
      </c>
      <c r="U128" s="2">
        <f>AH128</f>
        <v>25.272000000000002</v>
      </c>
      <c r="V128" s="2">
        <f>AI128</f>
        <v>0</v>
      </c>
      <c r="W128" s="2">
        <f>ROUND(AJ128,2)</f>
        <v>0</v>
      </c>
      <c r="X128" s="2">
        <f>ROUND(AK128,2)</f>
        <v>5824.6</v>
      </c>
      <c r="Y128" s="2">
        <f>ROUND(AL128,2)</f>
        <v>3584.37</v>
      </c>
      <c r="Z128" s="2"/>
      <c r="AA128" s="2"/>
      <c r="AB128" s="2">
        <f>ROUND(SUMIF(AA125:AA126,"=48276314",O125:O126),2)</f>
        <v>8960.91</v>
      </c>
      <c r="AC128" s="2">
        <f>ROUND(SUMIF(AA125:AA126,"=48276314",P125:P126),2)</f>
        <v>0</v>
      </c>
      <c r="AD128" s="2">
        <f>ROUND(SUMIF(AA125:AA126,"=48276314",Q125:Q126),2)</f>
        <v>0</v>
      </c>
      <c r="AE128" s="2">
        <f>ROUND(SUMIF(AA125:AA126,"=48276314",R125:R126),2)</f>
        <v>0</v>
      </c>
      <c r="AF128" s="2">
        <f>ROUND(SUMIF(AA125:AA126,"=48276314",S125:S126),2)</f>
        <v>8960.91</v>
      </c>
      <c r="AG128" s="2">
        <f>ROUND(SUMIF(AA125:AA126,"=48276314",T125:T126),2)</f>
        <v>0</v>
      </c>
      <c r="AH128" s="2">
        <f>SUMIF(AA125:AA126,"=48276314",U125:U126)</f>
        <v>25.272000000000002</v>
      </c>
      <c r="AI128" s="2">
        <f>SUMIF(AA125:AA126,"=48276314",V125:V126)</f>
        <v>0</v>
      </c>
      <c r="AJ128" s="2">
        <f>ROUND(SUMIF(AA125:AA126,"=48276314",W125:W126),2)</f>
        <v>0</v>
      </c>
      <c r="AK128" s="2">
        <f>ROUND(SUMIF(AA125:AA126,"=48276314",X125:X126),2)</f>
        <v>5824.6</v>
      </c>
      <c r="AL128" s="2">
        <f>ROUND(SUMIF(AA125:AA126,"=48276314",Y125:Y126),2)</f>
        <v>3584.37</v>
      </c>
      <c r="AM128" s="2"/>
      <c r="AN128" s="2"/>
      <c r="AO128" s="2">
        <f t="shared" ref="AO128:BC128" si="113">ROUND(BX128,2)</f>
        <v>0</v>
      </c>
      <c r="AP128" s="2">
        <f t="shared" si="113"/>
        <v>0</v>
      </c>
      <c r="AQ128" s="2">
        <f t="shared" si="113"/>
        <v>0</v>
      </c>
      <c r="AR128" s="2">
        <f t="shared" si="113"/>
        <v>18369.88</v>
      </c>
      <c r="AS128" s="2">
        <f t="shared" si="113"/>
        <v>0</v>
      </c>
      <c r="AT128" s="2">
        <f t="shared" si="113"/>
        <v>0</v>
      </c>
      <c r="AU128" s="2">
        <f t="shared" si="113"/>
        <v>18369.88</v>
      </c>
      <c r="AV128" s="2">
        <f t="shared" si="113"/>
        <v>0</v>
      </c>
      <c r="AW128" s="2">
        <f t="shared" si="113"/>
        <v>0</v>
      </c>
      <c r="AX128" s="2">
        <f t="shared" si="113"/>
        <v>0</v>
      </c>
      <c r="AY128" s="2">
        <f t="shared" si="113"/>
        <v>0</v>
      </c>
      <c r="AZ128" s="2">
        <f t="shared" si="113"/>
        <v>0</v>
      </c>
      <c r="BA128" s="2">
        <f t="shared" si="113"/>
        <v>0</v>
      </c>
      <c r="BB128" s="2">
        <f t="shared" si="113"/>
        <v>0</v>
      </c>
      <c r="BC128" s="2">
        <f t="shared" si="113"/>
        <v>0</v>
      </c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>
        <f>ROUND(SUMIF(AA125:AA126,"=48276314",FQ125:FQ126),2)</f>
        <v>0</v>
      </c>
      <c r="BY128" s="2">
        <f>ROUND(SUMIF(AA125:AA126,"=48276314",FR125:FR126),2)</f>
        <v>0</v>
      </c>
      <c r="BZ128" s="2">
        <f>ROUND(SUMIF(AA125:AA126,"=48276314",GL125:GL126),2)</f>
        <v>0</v>
      </c>
      <c r="CA128" s="2">
        <f>ROUND(SUMIF(AA125:AA126,"=48276314",GM125:GM126),2)</f>
        <v>18369.88</v>
      </c>
      <c r="CB128" s="2">
        <f>ROUND(SUMIF(AA125:AA126,"=48276314",GN125:GN126),2)</f>
        <v>0</v>
      </c>
      <c r="CC128" s="2">
        <f>ROUND(SUMIF(AA125:AA126,"=48276314",GO125:GO126),2)</f>
        <v>0</v>
      </c>
      <c r="CD128" s="2">
        <f>ROUND(SUMIF(AA125:AA126,"=48276314",GP125:GP126),2)</f>
        <v>18369.88</v>
      </c>
      <c r="CE128" s="2">
        <f>AC128-BX128</f>
        <v>0</v>
      </c>
      <c r="CF128" s="2">
        <f>AC128-BY128</f>
        <v>0</v>
      </c>
      <c r="CG128" s="2">
        <f>BX128-BZ128</f>
        <v>0</v>
      </c>
      <c r="CH128" s="2">
        <f>AC128-BX128-BY128+BZ128</f>
        <v>0</v>
      </c>
      <c r="CI128" s="2">
        <f>BY128-BZ128</f>
        <v>0</v>
      </c>
      <c r="CJ128" s="2">
        <f>ROUND(SUMIF(AA125:AA126,"=48276314",GX125:GX126),2)</f>
        <v>0</v>
      </c>
      <c r="CK128" s="2">
        <f>ROUND(SUMIF(AA125:AA126,"=48276314",GY125:GY126),2)</f>
        <v>0</v>
      </c>
      <c r="CL128" s="2">
        <f>ROUND(SUMIF(AA125:AA126,"=48276314",GZ125:GZ126),2)</f>
        <v>0</v>
      </c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>
        <v>0</v>
      </c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201</v>
      </c>
      <c r="F130" s="4">
        <f>ROUND(Source!O128,O130)</f>
        <v>8960.91</v>
      </c>
      <c r="G130" s="4" t="s">
        <v>130</v>
      </c>
      <c r="H130" s="4" t="s">
        <v>131</v>
      </c>
      <c r="I130" s="4"/>
      <c r="J130" s="4"/>
      <c r="K130" s="4">
        <v>201</v>
      </c>
      <c r="L130" s="4">
        <v>1</v>
      </c>
      <c r="M130" s="4">
        <v>3</v>
      </c>
      <c r="N130" s="4" t="s">
        <v>6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202</v>
      </c>
      <c r="F131" s="4">
        <f>ROUND(Source!P128,O131)</f>
        <v>0</v>
      </c>
      <c r="G131" s="4" t="s">
        <v>132</v>
      </c>
      <c r="H131" s="4" t="s">
        <v>133</v>
      </c>
      <c r="I131" s="4"/>
      <c r="J131" s="4"/>
      <c r="K131" s="4">
        <v>202</v>
      </c>
      <c r="L131" s="4">
        <v>2</v>
      </c>
      <c r="M131" s="4">
        <v>3</v>
      </c>
      <c r="N131" s="4" t="s">
        <v>6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222</v>
      </c>
      <c r="F132" s="4">
        <f>ROUND(Source!AO128,O132)</f>
        <v>0</v>
      </c>
      <c r="G132" s="4" t="s">
        <v>134</v>
      </c>
      <c r="H132" s="4" t="s">
        <v>135</v>
      </c>
      <c r="I132" s="4"/>
      <c r="J132" s="4"/>
      <c r="K132" s="4">
        <v>222</v>
      </c>
      <c r="L132" s="4">
        <v>3</v>
      </c>
      <c r="M132" s="4">
        <v>3</v>
      </c>
      <c r="N132" s="4" t="s">
        <v>6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225</v>
      </c>
      <c r="F133" s="4">
        <f>ROUND(Source!AV128,O133)</f>
        <v>0</v>
      </c>
      <c r="G133" s="4" t="s">
        <v>136</v>
      </c>
      <c r="H133" s="4" t="s">
        <v>137</v>
      </c>
      <c r="I133" s="4"/>
      <c r="J133" s="4"/>
      <c r="K133" s="4">
        <v>225</v>
      </c>
      <c r="L133" s="4">
        <v>4</v>
      </c>
      <c r="M133" s="4">
        <v>3</v>
      </c>
      <c r="N133" s="4" t="s">
        <v>6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226</v>
      </c>
      <c r="F134" s="4">
        <f>ROUND(Source!AW128,O134)</f>
        <v>0</v>
      </c>
      <c r="G134" s="4" t="s">
        <v>138</v>
      </c>
      <c r="H134" s="4" t="s">
        <v>139</v>
      </c>
      <c r="I134" s="4"/>
      <c r="J134" s="4"/>
      <c r="K134" s="4">
        <v>226</v>
      </c>
      <c r="L134" s="4">
        <v>5</v>
      </c>
      <c r="M134" s="4">
        <v>3</v>
      </c>
      <c r="N134" s="4" t="s">
        <v>6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227</v>
      </c>
      <c r="F135" s="4">
        <f>ROUND(Source!AX128,O135)</f>
        <v>0</v>
      </c>
      <c r="G135" s="4" t="s">
        <v>140</v>
      </c>
      <c r="H135" s="4" t="s">
        <v>141</v>
      </c>
      <c r="I135" s="4"/>
      <c r="J135" s="4"/>
      <c r="K135" s="4">
        <v>227</v>
      </c>
      <c r="L135" s="4">
        <v>6</v>
      </c>
      <c r="M135" s="4">
        <v>3</v>
      </c>
      <c r="N135" s="4" t="s">
        <v>6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228</v>
      </c>
      <c r="F136" s="4">
        <f>ROUND(Source!AY128,O136)</f>
        <v>0</v>
      </c>
      <c r="G136" s="4" t="s">
        <v>142</v>
      </c>
      <c r="H136" s="4" t="s">
        <v>143</v>
      </c>
      <c r="I136" s="4"/>
      <c r="J136" s="4"/>
      <c r="K136" s="4">
        <v>228</v>
      </c>
      <c r="L136" s="4">
        <v>7</v>
      </c>
      <c r="M136" s="4">
        <v>3</v>
      </c>
      <c r="N136" s="4" t="s">
        <v>6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216</v>
      </c>
      <c r="F137" s="4">
        <f>ROUND(Source!AP128,O137)</f>
        <v>0</v>
      </c>
      <c r="G137" s="4" t="s">
        <v>144</v>
      </c>
      <c r="H137" s="4" t="s">
        <v>145</v>
      </c>
      <c r="I137" s="4"/>
      <c r="J137" s="4"/>
      <c r="K137" s="4">
        <v>216</v>
      </c>
      <c r="L137" s="4">
        <v>8</v>
      </c>
      <c r="M137" s="4">
        <v>3</v>
      </c>
      <c r="N137" s="4" t="s">
        <v>6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223</v>
      </c>
      <c r="F138" s="4">
        <f>ROUND(Source!AQ128,O138)</f>
        <v>0</v>
      </c>
      <c r="G138" s="4" t="s">
        <v>146</v>
      </c>
      <c r="H138" s="4" t="s">
        <v>147</v>
      </c>
      <c r="I138" s="4"/>
      <c r="J138" s="4"/>
      <c r="K138" s="4">
        <v>223</v>
      </c>
      <c r="L138" s="4">
        <v>9</v>
      </c>
      <c r="M138" s="4">
        <v>3</v>
      </c>
      <c r="N138" s="4" t="s">
        <v>6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229</v>
      </c>
      <c r="F139" s="4">
        <f>ROUND(Source!AZ128,O139)</f>
        <v>0</v>
      </c>
      <c r="G139" s="4" t="s">
        <v>148</v>
      </c>
      <c r="H139" s="4" t="s">
        <v>149</v>
      </c>
      <c r="I139" s="4"/>
      <c r="J139" s="4"/>
      <c r="K139" s="4">
        <v>229</v>
      </c>
      <c r="L139" s="4">
        <v>10</v>
      </c>
      <c r="M139" s="4">
        <v>3</v>
      </c>
      <c r="N139" s="4" t="s">
        <v>6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203</v>
      </c>
      <c r="F140" s="4">
        <f>ROUND(Source!Q128,O140)</f>
        <v>0</v>
      </c>
      <c r="G140" s="4" t="s">
        <v>150</v>
      </c>
      <c r="H140" s="4" t="s">
        <v>151</v>
      </c>
      <c r="I140" s="4"/>
      <c r="J140" s="4"/>
      <c r="K140" s="4">
        <v>203</v>
      </c>
      <c r="L140" s="4">
        <v>11</v>
      </c>
      <c r="M140" s="4">
        <v>3</v>
      </c>
      <c r="N140" s="4" t="s">
        <v>6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231</v>
      </c>
      <c r="F141" s="4">
        <f>ROUND(Source!BB128,O141)</f>
        <v>0</v>
      </c>
      <c r="G141" s="4" t="s">
        <v>152</v>
      </c>
      <c r="H141" s="4" t="s">
        <v>153</v>
      </c>
      <c r="I141" s="4"/>
      <c r="J141" s="4"/>
      <c r="K141" s="4">
        <v>231</v>
      </c>
      <c r="L141" s="4">
        <v>12</v>
      </c>
      <c r="M141" s="4">
        <v>3</v>
      </c>
      <c r="N141" s="4" t="s">
        <v>6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204</v>
      </c>
      <c r="F142" s="4">
        <f>ROUND(Source!R128,O142)</f>
        <v>0</v>
      </c>
      <c r="G142" s="4" t="s">
        <v>154</v>
      </c>
      <c r="H142" s="4" t="s">
        <v>155</v>
      </c>
      <c r="I142" s="4"/>
      <c r="J142" s="4"/>
      <c r="K142" s="4">
        <v>204</v>
      </c>
      <c r="L142" s="4">
        <v>13</v>
      </c>
      <c r="M142" s="4">
        <v>3</v>
      </c>
      <c r="N142" s="4" t="s">
        <v>6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205</v>
      </c>
      <c r="F143" s="4">
        <f>ROUND(Source!S128,O143)</f>
        <v>8960.91</v>
      </c>
      <c r="G143" s="4" t="s">
        <v>156</v>
      </c>
      <c r="H143" s="4" t="s">
        <v>157</v>
      </c>
      <c r="I143" s="4"/>
      <c r="J143" s="4"/>
      <c r="K143" s="4">
        <v>205</v>
      </c>
      <c r="L143" s="4">
        <v>14</v>
      </c>
      <c r="M143" s="4">
        <v>3</v>
      </c>
      <c r="N143" s="4" t="s">
        <v>6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232</v>
      </c>
      <c r="F144" s="4">
        <f>ROUND(Source!BC128,O144)</f>
        <v>0</v>
      </c>
      <c r="G144" s="4" t="s">
        <v>158</v>
      </c>
      <c r="H144" s="4" t="s">
        <v>159</v>
      </c>
      <c r="I144" s="4"/>
      <c r="J144" s="4"/>
      <c r="K144" s="4">
        <v>232</v>
      </c>
      <c r="L144" s="4">
        <v>15</v>
      </c>
      <c r="M144" s="4">
        <v>3</v>
      </c>
      <c r="N144" s="4" t="s">
        <v>6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214</v>
      </c>
      <c r="F145" s="4">
        <f>ROUND(Source!AS128,O145)</f>
        <v>0</v>
      </c>
      <c r="G145" s="4" t="s">
        <v>160</v>
      </c>
      <c r="H145" s="4" t="s">
        <v>161</v>
      </c>
      <c r="I145" s="4"/>
      <c r="J145" s="4"/>
      <c r="K145" s="4">
        <v>214</v>
      </c>
      <c r="L145" s="4">
        <v>16</v>
      </c>
      <c r="M145" s="4">
        <v>3</v>
      </c>
      <c r="N145" s="4" t="s">
        <v>6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215</v>
      </c>
      <c r="F146" s="4">
        <f>ROUND(Source!AT128,O146)</f>
        <v>0</v>
      </c>
      <c r="G146" s="4" t="s">
        <v>162</v>
      </c>
      <c r="H146" s="4" t="s">
        <v>163</v>
      </c>
      <c r="I146" s="4"/>
      <c r="J146" s="4"/>
      <c r="K146" s="4">
        <v>215</v>
      </c>
      <c r="L146" s="4">
        <v>17</v>
      </c>
      <c r="M146" s="4">
        <v>3</v>
      </c>
      <c r="N146" s="4" t="s">
        <v>6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217</v>
      </c>
      <c r="F147" s="4">
        <f>ROUND(Source!AU128,O147)</f>
        <v>18369.88</v>
      </c>
      <c r="G147" s="4" t="s">
        <v>164</v>
      </c>
      <c r="H147" s="4" t="s">
        <v>165</v>
      </c>
      <c r="I147" s="4"/>
      <c r="J147" s="4"/>
      <c r="K147" s="4">
        <v>217</v>
      </c>
      <c r="L147" s="4">
        <v>18</v>
      </c>
      <c r="M147" s="4">
        <v>3</v>
      </c>
      <c r="N147" s="4" t="s">
        <v>6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230</v>
      </c>
      <c r="F148" s="4">
        <f>ROUND(Source!BA128,O148)</f>
        <v>0</v>
      </c>
      <c r="G148" s="4" t="s">
        <v>166</v>
      </c>
      <c r="H148" s="4" t="s">
        <v>167</v>
      </c>
      <c r="I148" s="4"/>
      <c r="J148" s="4"/>
      <c r="K148" s="4">
        <v>230</v>
      </c>
      <c r="L148" s="4">
        <v>19</v>
      </c>
      <c r="M148" s="4">
        <v>3</v>
      </c>
      <c r="N148" s="4" t="s">
        <v>6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206</v>
      </c>
      <c r="F149" s="4">
        <f>ROUND(Source!T128,O149)</f>
        <v>0</v>
      </c>
      <c r="G149" s="4" t="s">
        <v>168</v>
      </c>
      <c r="H149" s="4" t="s">
        <v>169</v>
      </c>
      <c r="I149" s="4"/>
      <c r="J149" s="4"/>
      <c r="K149" s="4">
        <v>206</v>
      </c>
      <c r="L149" s="4">
        <v>20</v>
      </c>
      <c r="M149" s="4">
        <v>3</v>
      </c>
      <c r="N149" s="4" t="s">
        <v>6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207</v>
      </c>
      <c r="F150" s="4">
        <f>Source!U128</f>
        <v>25.272000000000002</v>
      </c>
      <c r="G150" s="4" t="s">
        <v>170</v>
      </c>
      <c r="H150" s="4" t="s">
        <v>171</v>
      </c>
      <c r="I150" s="4"/>
      <c r="J150" s="4"/>
      <c r="K150" s="4">
        <v>207</v>
      </c>
      <c r="L150" s="4">
        <v>21</v>
      </c>
      <c r="M150" s="4">
        <v>3</v>
      </c>
      <c r="N150" s="4" t="s">
        <v>6</v>
      </c>
      <c r="O150" s="4">
        <v>-1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208</v>
      </c>
      <c r="F151" s="4">
        <f>Source!V128</f>
        <v>0</v>
      </c>
      <c r="G151" s="4" t="s">
        <v>172</v>
      </c>
      <c r="H151" s="4" t="s">
        <v>173</v>
      </c>
      <c r="I151" s="4"/>
      <c r="J151" s="4"/>
      <c r="K151" s="4">
        <v>208</v>
      </c>
      <c r="L151" s="4">
        <v>22</v>
      </c>
      <c r="M151" s="4">
        <v>3</v>
      </c>
      <c r="N151" s="4" t="s">
        <v>6</v>
      </c>
      <c r="O151" s="4">
        <v>-1</v>
      </c>
      <c r="P151" s="4"/>
      <c r="Q151" s="4"/>
      <c r="R151" s="4"/>
      <c r="S151" s="4"/>
      <c r="T151" s="4"/>
      <c r="U151" s="4"/>
      <c r="V151" s="4"/>
      <c r="W151" s="4"/>
    </row>
    <row r="152" spans="1:206" x14ac:dyDescent="0.2">
      <c r="A152" s="4">
        <v>50</v>
      </c>
      <c r="B152" s="4">
        <v>0</v>
      </c>
      <c r="C152" s="4">
        <v>0</v>
      </c>
      <c r="D152" s="4">
        <v>1</v>
      </c>
      <c r="E152" s="4">
        <v>209</v>
      </c>
      <c r="F152" s="4">
        <f>ROUND(Source!W128,O152)</f>
        <v>0</v>
      </c>
      <c r="G152" s="4" t="s">
        <v>174</v>
      </c>
      <c r="H152" s="4" t="s">
        <v>175</v>
      </c>
      <c r="I152" s="4"/>
      <c r="J152" s="4"/>
      <c r="K152" s="4">
        <v>209</v>
      </c>
      <c r="L152" s="4">
        <v>23</v>
      </c>
      <c r="M152" s="4">
        <v>3</v>
      </c>
      <c r="N152" s="4" t="s">
        <v>6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06" x14ac:dyDescent="0.2">
      <c r="A153" s="4">
        <v>50</v>
      </c>
      <c r="B153" s="4">
        <v>0</v>
      </c>
      <c r="C153" s="4">
        <v>0</v>
      </c>
      <c r="D153" s="4">
        <v>1</v>
      </c>
      <c r="E153" s="4">
        <v>210</v>
      </c>
      <c r="F153" s="4">
        <f>ROUND(Source!X128,O153)</f>
        <v>5824.6</v>
      </c>
      <c r="G153" s="4" t="s">
        <v>176</v>
      </c>
      <c r="H153" s="4" t="s">
        <v>177</v>
      </c>
      <c r="I153" s="4"/>
      <c r="J153" s="4"/>
      <c r="K153" s="4">
        <v>210</v>
      </c>
      <c r="L153" s="4">
        <v>24</v>
      </c>
      <c r="M153" s="4">
        <v>3</v>
      </c>
      <c r="N153" s="4" t="s">
        <v>6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06" x14ac:dyDescent="0.2">
      <c r="A154" s="4">
        <v>50</v>
      </c>
      <c r="B154" s="4">
        <v>0</v>
      </c>
      <c r="C154" s="4">
        <v>0</v>
      </c>
      <c r="D154" s="4">
        <v>1</v>
      </c>
      <c r="E154" s="4">
        <v>211</v>
      </c>
      <c r="F154" s="4">
        <f>ROUND(Source!Y128,O154)</f>
        <v>3584.37</v>
      </c>
      <c r="G154" s="4" t="s">
        <v>178</v>
      </c>
      <c r="H154" s="4" t="s">
        <v>179</v>
      </c>
      <c r="I154" s="4"/>
      <c r="J154" s="4"/>
      <c r="K154" s="4">
        <v>211</v>
      </c>
      <c r="L154" s="4">
        <v>25</v>
      </c>
      <c r="M154" s="4">
        <v>3</v>
      </c>
      <c r="N154" s="4" t="s">
        <v>6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06" x14ac:dyDescent="0.2">
      <c r="A155" s="4">
        <v>50</v>
      </c>
      <c r="B155" s="4">
        <v>0</v>
      </c>
      <c r="C155" s="4">
        <v>0</v>
      </c>
      <c r="D155" s="4">
        <v>1</v>
      </c>
      <c r="E155" s="4">
        <v>224</v>
      </c>
      <c r="F155" s="4">
        <f>ROUND(Source!AR128,O155)</f>
        <v>18369.88</v>
      </c>
      <c r="G155" s="4" t="s">
        <v>180</v>
      </c>
      <c r="H155" s="4" t="s">
        <v>181</v>
      </c>
      <c r="I155" s="4"/>
      <c r="J155" s="4"/>
      <c r="K155" s="4">
        <v>224</v>
      </c>
      <c r="L155" s="4">
        <v>26</v>
      </c>
      <c r="M155" s="4">
        <v>3</v>
      </c>
      <c r="N155" s="4" t="s">
        <v>6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7" spans="1:206" x14ac:dyDescent="0.2">
      <c r="A157" s="1">
        <v>4</v>
      </c>
      <c r="B157" s="1">
        <v>1</v>
      </c>
      <c r="C157" s="1"/>
      <c r="D157" s="1">
        <f>ROW(A163)</f>
        <v>163</v>
      </c>
      <c r="E157" s="1"/>
      <c r="F157" s="1" t="s">
        <v>27</v>
      </c>
      <c r="G157" s="1" t="s">
        <v>266</v>
      </c>
      <c r="H157" s="1" t="s">
        <v>6</v>
      </c>
      <c r="I157" s="1">
        <v>0</v>
      </c>
      <c r="J157" s="1"/>
      <c r="K157" s="1"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 t="s">
        <v>6</v>
      </c>
      <c r="V157" s="1">
        <v>0</v>
      </c>
      <c r="W157" s="1"/>
      <c r="X157" s="1"/>
      <c r="Y157" s="1"/>
      <c r="Z157" s="1"/>
      <c r="AA157" s="1"/>
      <c r="AB157" s="1" t="s">
        <v>6</v>
      </c>
      <c r="AC157" s="1" t="s">
        <v>6</v>
      </c>
      <c r="AD157" s="1" t="s">
        <v>6</v>
      </c>
      <c r="AE157" s="1" t="s">
        <v>6</v>
      </c>
      <c r="AF157" s="1" t="s">
        <v>6</v>
      </c>
      <c r="AG157" s="1" t="s">
        <v>6</v>
      </c>
      <c r="AH157" s="1"/>
      <c r="AI157" s="1"/>
      <c r="AJ157" s="1"/>
      <c r="AK157" s="1"/>
      <c r="AL157" s="1"/>
      <c r="AM157" s="1"/>
      <c r="AN157" s="1"/>
      <c r="AO157" s="1"/>
      <c r="AP157" s="1" t="s">
        <v>6</v>
      </c>
      <c r="AQ157" s="1" t="s">
        <v>6</v>
      </c>
      <c r="AR157" s="1" t="s">
        <v>6</v>
      </c>
      <c r="AS157" s="1"/>
      <c r="AT157" s="1"/>
      <c r="AU157" s="1"/>
      <c r="AV157" s="1"/>
      <c r="AW157" s="1"/>
      <c r="AX157" s="1"/>
      <c r="AY157" s="1"/>
      <c r="AZ157" s="1" t="s">
        <v>6</v>
      </c>
      <c r="BA157" s="1"/>
      <c r="BB157" s="1" t="s">
        <v>6</v>
      </c>
      <c r="BC157" s="1" t="s">
        <v>6</v>
      </c>
      <c r="BD157" s="1" t="s">
        <v>6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6</v>
      </c>
      <c r="BK157" s="1" t="s">
        <v>6</v>
      </c>
      <c r="BL157" s="1" t="s">
        <v>6</v>
      </c>
      <c r="BM157" s="1" t="s">
        <v>6</v>
      </c>
      <c r="BN157" s="1" t="s">
        <v>6</v>
      </c>
      <c r="BO157" s="1" t="s">
        <v>6</v>
      </c>
      <c r="BP157" s="1" t="s">
        <v>6</v>
      </c>
      <c r="BQ157" s="1"/>
      <c r="BR157" s="1"/>
      <c r="BS157" s="1"/>
      <c r="BT157" s="1"/>
      <c r="BU157" s="1"/>
      <c r="BV157" s="1"/>
      <c r="BW157" s="1"/>
      <c r="BX157" s="1">
        <v>0</v>
      </c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>
        <v>0</v>
      </c>
    </row>
    <row r="159" spans="1:206" x14ac:dyDescent="0.2">
      <c r="A159" s="2">
        <v>52</v>
      </c>
      <c r="B159" s="2">
        <f t="shared" ref="B159:G159" si="114">B163</f>
        <v>1</v>
      </c>
      <c r="C159" s="2">
        <f t="shared" si="114"/>
        <v>4</v>
      </c>
      <c r="D159" s="2">
        <f t="shared" si="114"/>
        <v>157</v>
      </c>
      <c r="E159" s="2">
        <f t="shared" si="114"/>
        <v>0</v>
      </c>
      <c r="F159" s="2" t="str">
        <f t="shared" si="114"/>
        <v>Новый раздел</v>
      </c>
      <c r="G159" s="2" t="str">
        <f t="shared" si="114"/>
        <v>Материалы Заказчика</v>
      </c>
      <c r="H159" s="2"/>
      <c r="I159" s="2"/>
      <c r="J159" s="2"/>
      <c r="K159" s="2"/>
      <c r="L159" s="2"/>
      <c r="M159" s="2"/>
      <c r="N159" s="2"/>
      <c r="O159" s="2">
        <f t="shared" ref="O159:AT159" si="115">O163</f>
        <v>785200</v>
      </c>
      <c r="P159" s="2">
        <f t="shared" si="115"/>
        <v>785200</v>
      </c>
      <c r="Q159" s="2">
        <f t="shared" si="115"/>
        <v>0</v>
      </c>
      <c r="R159" s="2">
        <f t="shared" si="115"/>
        <v>0</v>
      </c>
      <c r="S159" s="2">
        <f t="shared" si="115"/>
        <v>0</v>
      </c>
      <c r="T159" s="2">
        <f t="shared" si="115"/>
        <v>0</v>
      </c>
      <c r="U159" s="2">
        <f t="shared" si="115"/>
        <v>0</v>
      </c>
      <c r="V159" s="2">
        <f t="shared" si="115"/>
        <v>0</v>
      </c>
      <c r="W159" s="2">
        <f t="shared" si="115"/>
        <v>0</v>
      </c>
      <c r="X159" s="2">
        <f t="shared" si="115"/>
        <v>0</v>
      </c>
      <c r="Y159" s="2">
        <f t="shared" si="115"/>
        <v>0</v>
      </c>
      <c r="Z159" s="2">
        <f t="shared" si="115"/>
        <v>0</v>
      </c>
      <c r="AA159" s="2">
        <f t="shared" si="115"/>
        <v>0</v>
      </c>
      <c r="AB159" s="2">
        <f t="shared" si="115"/>
        <v>785200</v>
      </c>
      <c r="AC159" s="2">
        <f t="shared" si="115"/>
        <v>785200</v>
      </c>
      <c r="AD159" s="2">
        <f t="shared" si="115"/>
        <v>0</v>
      </c>
      <c r="AE159" s="2">
        <f t="shared" si="115"/>
        <v>0</v>
      </c>
      <c r="AF159" s="2">
        <f t="shared" si="115"/>
        <v>0</v>
      </c>
      <c r="AG159" s="2">
        <f t="shared" si="115"/>
        <v>0</v>
      </c>
      <c r="AH159" s="2">
        <f t="shared" si="115"/>
        <v>0</v>
      </c>
      <c r="AI159" s="2">
        <f t="shared" si="115"/>
        <v>0</v>
      </c>
      <c r="AJ159" s="2">
        <f t="shared" si="115"/>
        <v>0</v>
      </c>
      <c r="AK159" s="2">
        <f t="shared" si="115"/>
        <v>0</v>
      </c>
      <c r="AL159" s="2">
        <f t="shared" si="115"/>
        <v>0</v>
      </c>
      <c r="AM159" s="2">
        <f t="shared" si="115"/>
        <v>0</v>
      </c>
      <c r="AN159" s="2">
        <f t="shared" si="115"/>
        <v>0</v>
      </c>
      <c r="AO159" s="2">
        <f t="shared" si="115"/>
        <v>0</v>
      </c>
      <c r="AP159" s="2">
        <f t="shared" si="115"/>
        <v>0</v>
      </c>
      <c r="AQ159" s="2">
        <f t="shared" si="115"/>
        <v>0</v>
      </c>
      <c r="AR159" s="2">
        <f t="shared" si="115"/>
        <v>785200</v>
      </c>
      <c r="AS159" s="2">
        <f t="shared" si="115"/>
        <v>785200</v>
      </c>
      <c r="AT159" s="2">
        <f t="shared" si="115"/>
        <v>0</v>
      </c>
      <c r="AU159" s="2">
        <f t="shared" ref="AU159:BZ159" si="116">AU163</f>
        <v>0</v>
      </c>
      <c r="AV159" s="2">
        <f t="shared" si="116"/>
        <v>785200</v>
      </c>
      <c r="AW159" s="2">
        <f t="shared" si="116"/>
        <v>785200</v>
      </c>
      <c r="AX159" s="2">
        <f t="shared" si="116"/>
        <v>0</v>
      </c>
      <c r="AY159" s="2">
        <f t="shared" si="116"/>
        <v>785200</v>
      </c>
      <c r="AZ159" s="2">
        <f t="shared" si="116"/>
        <v>0</v>
      </c>
      <c r="BA159" s="2">
        <f t="shared" si="116"/>
        <v>0</v>
      </c>
      <c r="BB159" s="2">
        <f t="shared" si="116"/>
        <v>0</v>
      </c>
      <c r="BC159" s="2">
        <f t="shared" si="116"/>
        <v>0</v>
      </c>
      <c r="BD159" s="2">
        <f t="shared" si="116"/>
        <v>0</v>
      </c>
      <c r="BE159" s="2">
        <f t="shared" si="116"/>
        <v>0</v>
      </c>
      <c r="BF159" s="2">
        <f t="shared" si="116"/>
        <v>0</v>
      </c>
      <c r="BG159" s="2">
        <f t="shared" si="116"/>
        <v>0</v>
      </c>
      <c r="BH159" s="2">
        <f t="shared" si="116"/>
        <v>0</v>
      </c>
      <c r="BI159" s="2">
        <f t="shared" si="116"/>
        <v>0</v>
      </c>
      <c r="BJ159" s="2">
        <f t="shared" si="116"/>
        <v>0</v>
      </c>
      <c r="BK159" s="2">
        <f t="shared" si="116"/>
        <v>0</v>
      </c>
      <c r="BL159" s="2">
        <f t="shared" si="116"/>
        <v>0</v>
      </c>
      <c r="BM159" s="2">
        <f t="shared" si="116"/>
        <v>0</v>
      </c>
      <c r="BN159" s="2">
        <f t="shared" si="116"/>
        <v>0</v>
      </c>
      <c r="BO159" s="2">
        <f t="shared" si="116"/>
        <v>0</v>
      </c>
      <c r="BP159" s="2">
        <f t="shared" si="116"/>
        <v>0</v>
      </c>
      <c r="BQ159" s="2">
        <f t="shared" si="116"/>
        <v>0</v>
      </c>
      <c r="BR159" s="2">
        <f t="shared" si="116"/>
        <v>0</v>
      </c>
      <c r="BS159" s="2">
        <f t="shared" si="116"/>
        <v>0</v>
      </c>
      <c r="BT159" s="2">
        <f t="shared" si="116"/>
        <v>0</v>
      </c>
      <c r="BU159" s="2">
        <f t="shared" si="116"/>
        <v>0</v>
      </c>
      <c r="BV159" s="2">
        <f t="shared" si="116"/>
        <v>0</v>
      </c>
      <c r="BW159" s="2">
        <f t="shared" si="116"/>
        <v>0</v>
      </c>
      <c r="BX159" s="2">
        <f t="shared" si="116"/>
        <v>0</v>
      </c>
      <c r="BY159" s="2">
        <f t="shared" si="116"/>
        <v>0</v>
      </c>
      <c r="BZ159" s="2">
        <f t="shared" si="116"/>
        <v>0</v>
      </c>
      <c r="CA159" s="2">
        <f t="shared" ref="CA159:DF159" si="117">CA163</f>
        <v>785200</v>
      </c>
      <c r="CB159" s="2">
        <f t="shared" si="117"/>
        <v>785200</v>
      </c>
      <c r="CC159" s="2">
        <f t="shared" si="117"/>
        <v>0</v>
      </c>
      <c r="CD159" s="2">
        <f t="shared" si="117"/>
        <v>0</v>
      </c>
      <c r="CE159" s="2">
        <f t="shared" si="117"/>
        <v>785200</v>
      </c>
      <c r="CF159" s="2">
        <f t="shared" si="117"/>
        <v>785200</v>
      </c>
      <c r="CG159" s="2">
        <f t="shared" si="117"/>
        <v>0</v>
      </c>
      <c r="CH159" s="2">
        <f t="shared" si="117"/>
        <v>785200</v>
      </c>
      <c r="CI159" s="2">
        <f t="shared" si="117"/>
        <v>0</v>
      </c>
      <c r="CJ159" s="2">
        <f t="shared" si="117"/>
        <v>0</v>
      </c>
      <c r="CK159" s="2">
        <f t="shared" si="117"/>
        <v>0</v>
      </c>
      <c r="CL159" s="2">
        <f t="shared" si="117"/>
        <v>0</v>
      </c>
      <c r="CM159" s="2">
        <f t="shared" si="117"/>
        <v>0</v>
      </c>
      <c r="CN159" s="2">
        <f t="shared" si="117"/>
        <v>0</v>
      </c>
      <c r="CO159" s="2">
        <f t="shared" si="117"/>
        <v>0</v>
      </c>
      <c r="CP159" s="2">
        <f t="shared" si="117"/>
        <v>0</v>
      </c>
      <c r="CQ159" s="2">
        <f t="shared" si="117"/>
        <v>0</v>
      </c>
      <c r="CR159" s="2">
        <f t="shared" si="117"/>
        <v>0</v>
      </c>
      <c r="CS159" s="2">
        <f t="shared" si="117"/>
        <v>0</v>
      </c>
      <c r="CT159" s="2">
        <f t="shared" si="117"/>
        <v>0</v>
      </c>
      <c r="CU159" s="2">
        <f t="shared" si="117"/>
        <v>0</v>
      </c>
      <c r="CV159" s="2">
        <f t="shared" si="117"/>
        <v>0</v>
      </c>
      <c r="CW159" s="2">
        <f t="shared" si="117"/>
        <v>0</v>
      </c>
      <c r="CX159" s="2">
        <f t="shared" si="117"/>
        <v>0</v>
      </c>
      <c r="CY159" s="2">
        <f t="shared" si="117"/>
        <v>0</v>
      </c>
      <c r="CZ159" s="2">
        <f t="shared" si="117"/>
        <v>0</v>
      </c>
      <c r="DA159" s="2">
        <f t="shared" si="117"/>
        <v>0</v>
      </c>
      <c r="DB159" s="2">
        <f t="shared" si="117"/>
        <v>0</v>
      </c>
      <c r="DC159" s="2">
        <f t="shared" si="117"/>
        <v>0</v>
      </c>
      <c r="DD159" s="2">
        <f t="shared" si="117"/>
        <v>0</v>
      </c>
      <c r="DE159" s="2">
        <f t="shared" si="117"/>
        <v>0</v>
      </c>
      <c r="DF159" s="2">
        <f t="shared" si="117"/>
        <v>0</v>
      </c>
      <c r="DG159" s="3">
        <f t="shared" ref="DG159:EL159" si="118">DG163</f>
        <v>0</v>
      </c>
      <c r="DH159" s="3">
        <f t="shared" si="118"/>
        <v>0</v>
      </c>
      <c r="DI159" s="3">
        <f t="shared" si="118"/>
        <v>0</v>
      </c>
      <c r="DJ159" s="3">
        <f t="shared" si="118"/>
        <v>0</v>
      </c>
      <c r="DK159" s="3">
        <f t="shared" si="118"/>
        <v>0</v>
      </c>
      <c r="DL159" s="3">
        <f t="shared" si="118"/>
        <v>0</v>
      </c>
      <c r="DM159" s="3">
        <f t="shared" si="118"/>
        <v>0</v>
      </c>
      <c r="DN159" s="3">
        <f t="shared" si="118"/>
        <v>0</v>
      </c>
      <c r="DO159" s="3">
        <f t="shared" si="118"/>
        <v>0</v>
      </c>
      <c r="DP159" s="3">
        <f t="shared" si="118"/>
        <v>0</v>
      </c>
      <c r="DQ159" s="3">
        <f t="shared" si="118"/>
        <v>0</v>
      </c>
      <c r="DR159" s="3">
        <f t="shared" si="118"/>
        <v>0</v>
      </c>
      <c r="DS159" s="3">
        <f t="shared" si="118"/>
        <v>0</v>
      </c>
      <c r="DT159" s="3">
        <f t="shared" si="118"/>
        <v>0</v>
      </c>
      <c r="DU159" s="3">
        <f t="shared" si="118"/>
        <v>0</v>
      </c>
      <c r="DV159" s="3">
        <f t="shared" si="118"/>
        <v>0</v>
      </c>
      <c r="DW159" s="3">
        <f t="shared" si="118"/>
        <v>0</v>
      </c>
      <c r="DX159" s="3">
        <f t="shared" si="118"/>
        <v>0</v>
      </c>
      <c r="DY159" s="3">
        <f t="shared" si="118"/>
        <v>0</v>
      </c>
      <c r="DZ159" s="3">
        <f t="shared" si="118"/>
        <v>0</v>
      </c>
      <c r="EA159" s="3">
        <f t="shared" si="118"/>
        <v>0</v>
      </c>
      <c r="EB159" s="3">
        <f t="shared" si="118"/>
        <v>0</v>
      </c>
      <c r="EC159" s="3">
        <f t="shared" si="118"/>
        <v>0</v>
      </c>
      <c r="ED159" s="3">
        <f t="shared" si="118"/>
        <v>0</v>
      </c>
      <c r="EE159" s="3">
        <f t="shared" si="118"/>
        <v>0</v>
      </c>
      <c r="EF159" s="3">
        <f t="shared" si="118"/>
        <v>0</v>
      </c>
      <c r="EG159" s="3">
        <f t="shared" si="118"/>
        <v>0</v>
      </c>
      <c r="EH159" s="3">
        <f t="shared" si="118"/>
        <v>0</v>
      </c>
      <c r="EI159" s="3">
        <f t="shared" si="118"/>
        <v>0</v>
      </c>
      <c r="EJ159" s="3">
        <f t="shared" si="118"/>
        <v>0</v>
      </c>
      <c r="EK159" s="3">
        <f t="shared" si="118"/>
        <v>0</v>
      </c>
      <c r="EL159" s="3">
        <f t="shared" si="118"/>
        <v>0</v>
      </c>
      <c r="EM159" s="3">
        <f t="shared" ref="EM159:FR159" si="119">EM163</f>
        <v>0</v>
      </c>
      <c r="EN159" s="3">
        <f t="shared" si="119"/>
        <v>0</v>
      </c>
      <c r="EO159" s="3">
        <f t="shared" si="119"/>
        <v>0</v>
      </c>
      <c r="EP159" s="3">
        <f t="shared" si="119"/>
        <v>0</v>
      </c>
      <c r="EQ159" s="3">
        <f t="shared" si="119"/>
        <v>0</v>
      </c>
      <c r="ER159" s="3">
        <f t="shared" si="119"/>
        <v>0</v>
      </c>
      <c r="ES159" s="3">
        <f t="shared" si="119"/>
        <v>0</v>
      </c>
      <c r="ET159" s="3">
        <f t="shared" si="119"/>
        <v>0</v>
      </c>
      <c r="EU159" s="3">
        <f t="shared" si="119"/>
        <v>0</v>
      </c>
      <c r="EV159" s="3">
        <f t="shared" si="119"/>
        <v>0</v>
      </c>
      <c r="EW159" s="3">
        <f t="shared" si="119"/>
        <v>0</v>
      </c>
      <c r="EX159" s="3">
        <f t="shared" si="119"/>
        <v>0</v>
      </c>
      <c r="EY159" s="3">
        <f t="shared" si="119"/>
        <v>0</v>
      </c>
      <c r="EZ159" s="3">
        <f t="shared" si="119"/>
        <v>0</v>
      </c>
      <c r="FA159" s="3">
        <f t="shared" si="119"/>
        <v>0</v>
      </c>
      <c r="FB159" s="3">
        <f t="shared" si="119"/>
        <v>0</v>
      </c>
      <c r="FC159" s="3">
        <f t="shared" si="119"/>
        <v>0</v>
      </c>
      <c r="FD159" s="3">
        <f t="shared" si="119"/>
        <v>0</v>
      </c>
      <c r="FE159" s="3">
        <f t="shared" si="119"/>
        <v>0</v>
      </c>
      <c r="FF159" s="3">
        <f t="shared" si="119"/>
        <v>0</v>
      </c>
      <c r="FG159" s="3">
        <f t="shared" si="119"/>
        <v>0</v>
      </c>
      <c r="FH159" s="3">
        <f t="shared" si="119"/>
        <v>0</v>
      </c>
      <c r="FI159" s="3">
        <f t="shared" si="119"/>
        <v>0</v>
      </c>
      <c r="FJ159" s="3">
        <f t="shared" si="119"/>
        <v>0</v>
      </c>
      <c r="FK159" s="3">
        <f t="shared" si="119"/>
        <v>0</v>
      </c>
      <c r="FL159" s="3">
        <f t="shared" si="119"/>
        <v>0</v>
      </c>
      <c r="FM159" s="3">
        <f t="shared" si="119"/>
        <v>0</v>
      </c>
      <c r="FN159" s="3">
        <f t="shared" si="119"/>
        <v>0</v>
      </c>
      <c r="FO159" s="3">
        <f t="shared" si="119"/>
        <v>0</v>
      </c>
      <c r="FP159" s="3">
        <f t="shared" si="119"/>
        <v>0</v>
      </c>
      <c r="FQ159" s="3">
        <f t="shared" si="119"/>
        <v>0</v>
      </c>
      <c r="FR159" s="3">
        <f t="shared" si="119"/>
        <v>0</v>
      </c>
      <c r="FS159" s="3">
        <f t="shared" ref="FS159:GX159" si="120">FS163</f>
        <v>0</v>
      </c>
      <c r="FT159" s="3">
        <f t="shared" si="120"/>
        <v>0</v>
      </c>
      <c r="FU159" s="3">
        <f t="shared" si="120"/>
        <v>0</v>
      </c>
      <c r="FV159" s="3">
        <f t="shared" si="120"/>
        <v>0</v>
      </c>
      <c r="FW159" s="3">
        <f t="shared" si="120"/>
        <v>0</v>
      </c>
      <c r="FX159" s="3">
        <f t="shared" si="120"/>
        <v>0</v>
      </c>
      <c r="FY159" s="3">
        <f t="shared" si="120"/>
        <v>0</v>
      </c>
      <c r="FZ159" s="3">
        <f t="shared" si="120"/>
        <v>0</v>
      </c>
      <c r="GA159" s="3">
        <f t="shared" si="120"/>
        <v>0</v>
      </c>
      <c r="GB159" s="3">
        <f t="shared" si="120"/>
        <v>0</v>
      </c>
      <c r="GC159" s="3">
        <f t="shared" si="120"/>
        <v>0</v>
      </c>
      <c r="GD159" s="3">
        <f t="shared" si="120"/>
        <v>0</v>
      </c>
      <c r="GE159" s="3">
        <f t="shared" si="120"/>
        <v>0</v>
      </c>
      <c r="GF159" s="3">
        <f t="shared" si="120"/>
        <v>0</v>
      </c>
      <c r="GG159" s="3">
        <f t="shared" si="120"/>
        <v>0</v>
      </c>
      <c r="GH159" s="3">
        <f t="shared" si="120"/>
        <v>0</v>
      </c>
      <c r="GI159" s="3">
        <f t="shared" si="120"/>
        <v>0</v>
      </c>
      <c r="GJ159" s="3">
        <f t="shared" si="120"/>
        <v>0</v>
      </c>
      <c r="GK159" s="3">
        <f t="shared" si="120"/>
        <v>0</v>
      </c>
      <c r="GL159" s="3">
        <f t="shared" si="120"/>
        <v>0</v>
      </c>
      <c r="GM159" s="3">
        <f t="shared" si="120"/>
        <v>0</v>
      </c>
      <c r="GN159" s="3">
        <f t="shared" si="120"/>
        <v>0</v>
      </c>
      <c r="GO159" s="3">
        <f t="shared" si="120"/>
        <v>0</v>
      </c>
      <c r="GP159" s="3">
        <f t="shared" si="120"/>
        <v>0</v>
      </c>
      <c r="GQ159" s="3">
        <f t="shared" si="120"/>
        <v>0</v>
      </c>
      <c r="GR159" s="3">
        <f t="shared" si="120"/>
        <v>0</v>
      </c>
      <c r="GS159" s="3">
        <f t="shared" si="120"/>
        <v>0</v>
      </c>
      <c r="GT159" s="3">
        <f t="shared" si="120"/>
        <v>0</v>
      </c>
      <c r="GU159" s="3">
        <f t="shared" si="120"/>
        <v>0</v>
      </c>
      <c r="GV159" s="3">
        <f t="shared" si="120"/>
        <v>0</v>
      </c>
      <c r="GW159" s="3">
        <f t="shared" si="120"/>
        <v>0</v>
      </c>
      <c r="GX159" s="3">
        <f t="shared" si="120"/>
        <v>0</v>
      </c>
    </row>
    <row r="161" spans="1:245" x14ac:dyDescent="0.2">
      <c r="A161">
        <v>17</v>
      </c>
      <c r="B161">
        <v>1</v>
      </c>
      <c r="E161" t="s">
        <v>267</v>
      </c>
      <c r="F161" t="s">
        <v>6</v>
      </c>
      <c r="G161" t="s">
        <v>268</v>
      </c>
      <c r="H161" t="s">
        <v>105</v>
      </c>
      <c r="I161">
        <v>1040</v>
      </c>
      <c r="J161">
        <v>0</v>
      </c>
      <c r="O161">
        <f>ROUND(CP161,2)</f>
        <v>785200</v>
      </c>
      <c r="P161">
        <f>ROUND(CQ161*I161,2)</f>
        <v>785200</v>
      </c>
      <c r="Q161">
        <f>ROUND(CR161*I161,2)</f>
        <v>0</v>
      </c>
      <c r="R161">
        <f>ROUND(CS161*I161,2)</f>
        <v>0</v>
      </c>
      <c r="S161">
        <f>ROUND(CT161*I161,2)</f>
        <v>0</v>
      </c>
      <c r="T161">
        <f>ROUND(CU161*I161,2)</f>
        <v>0</v>
      </c>
      <c r="U161">
        <f>CV161*I161</f>
        <v>0</v>
      </c>
      <c r="V161">
        <f>CW161*I161</f>
        <v>0</v>
      </c>
      <c r="W161">
        <f>ROUND(CX161*I161,2)</f>
        <v>0</v>
      </c>
      <c r="X161">
        <f>ROUND(CY161,2)</f>
        <v>0</v>
      </c>
      <c r="Y161">
        <f>ROUND(CZ161,2)</f>
        <v>0</v>
      </c>
      <c r="AA161">
        <v>48276314</v>
      </c>
      <c r="AB161">
        <f>ROUND((AC161+AD161+AF161),2)</f>
        <v>755</v>
      </c>
      <c r="AC161">
        <f>ROUND((ES161),2)</f>
        <v>755</v>
      </c>
      <c r="AD161">
        <f>ROUND((((ET161)-(EU161))+AE161),2)</f>
        <v>0</v>
      </c>
      <c r="AE161">
        <f>ROUND((EU161),2)</f>
        <v>0</v>
      </c>
      <c r="AF161">
        <f>ROUND((EV161),2)</f>
        <v>0</v>
      </c>
      <c r="AG161">
        <f>ROUND((AP161),2)</f>
        <v>0</v>
      </c>
      <c r="AH161">
        <f>(EW161)</f>
        <v>0</v>
      </c>
      <c r="AI161">
        <f>(EX161)</f>
        <v>0</v>
      </c>
      <c r="AJ161">
        <f>(AS161)</f>
        <v>0</v>
      </c>
      <c r="AK161">
        <v>755</v>
      </c>
      <c r="AL161">
        <v>755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1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1100</v>
      </c>
      <c r="BN161">
        <v>0</v>
      </c>
      <c r="BO161" t="s">
        <v>6</v>
      </c>
      <c r="BP161">
        <v>0</v>
      </c>
      <c r="BQ161">
        <v>8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0</v>
      </c>
      <c r="CA161">
        <v>0</v>
      </c>
      <c r="CE161">
        <v>0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>(P161+Q161+S161)</f>
        <v>785200</v>
      </c>
      <c r="CQ161">
        <f>AC161*BC161</f>
        <v>755</v>
      </c>
      <c r="CR161">
        <f>AD161*BB161</f>
        <v>0</v>
      </c>
      <c r="CS161">
        <f>AE161*BS161</f>
        <v>0</v>
      </c>
      <c r="CT161">
        <f>AF161*BA161</f>
        <v>0</v>
      </c>
      <c r="CU161">
        <f>AG161</f>
        <v>0</v>
      </c>
      <c r="CV161">
        <f>AH161</f>
        <v>0</v>
      </c>
      <c r="CW161">
        <f>AI161</f>
        <v>0</v>
      </c>
      <c r="CX161">
        <f>AJ161</f>
        <v>0</v>
      </c>
      <c r="CY161">
        <f>(((S161+R161)*AT161)/100)</f>
        <v>0</v>
      </c>
      <c r="CZ161">
        <f>(((S161+R161)*AU161)/100)</f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1003</v>
      </c>
      <c r="DV161" t="s">
        <v>105</v>
      </c>
      <c r="DW161" t="s">
        <v>105</v>
      </c>
      <c r="DX161">
        <v>1</v>
      </c>
      <c r="EE161">
        <v>39495697</v>
      </c>
      <c r="EF161">
        <v>8</v>
      </c>
      <c r="EG161" t="s">
        <v>107</v>
      </c>
      <c r="EH161">
        <v>0</v>
      </c>
      <c r="EI161" t="s">
        <v>6</v>
      </c>
      <c r="EJ161">
        <v>1</v>
      </c>
      <c r="EK161">
        <v>1100</v>
      </c>
      <c r="EL161" t="s">
        <v>269</v>
      </c>
      <c r="EM161" t="s">
        <v>270</v>
      </c>
      <c r="EO161" t="s">
        <v>6</v>
      </c>
      <c r="EQ161">
        <v>0</v>
      </c>
      <c r="ER161">
        <v>755</v>
      </c>
      <c r="ES161">
        <v>755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FQ161">
        <v>0</v>
      </c>
      <c r="FR161">
        <f>ROUND(IF(AND(BH161=3,BI161=3),P161,0),2)</f>
        <v>0</v>
      </c>
      <c r="FS161">
        <v>0</v>
      </c>
      <c r="FX161">
        <v>0</v>
      </c>
      <c r="FY161">
        <v>0</v>
      </c>
      <c r="GA161" t="s">
        <v>271</v>
      </c>
      <c r="GD161">
        <v>1</v>
      </c>
      <c r="GF161">
        <v>-1568333028</v>
      </c>
      <c r="GG161">
        <v>2</v>
      </c>
      <c r="GH161">
        <v>0</v>
      </c>
      <c r="GI161">
        <v>-2</v>
      </c>
      <c r="GJ161">
        <v>0</v>
      </c>
      <c r="GK161">
        <v>0</v>
      </c>
      <c r="GL161">
        <f>ROUND(IF(AND(BH161=3,BI161=3,FS161&lt;&gt;0),P161,0),2)</f>
        <v>0</v>
      </c>
      <c r="GM161">
        <f>ROUND(O161+X161+Y161,2)+GX161</f>
        <v>785200</v>
      </c>
      <c r="GN161">
        <f>IF(OR(BI161=0,BI161=1),ROUND(O161+X161+Y161,2),0)</f>
        <v>785200</v>
      </c>
      <c r="GO161">
        <f>IF(BI161=2,ROUND(O161+X161+Y161,2),0)</f>
        <v>0</v>
      </c>
      <c r="GP161">
        <f>IF(BI161=4,ROUND(O161+X161+Y161,2)+GX161,0)</f>
        <v>0</v>
      </c>
      <c r="GR161">
        <v>0</v>
      </c>
      <c r="GS161">
        <v>4</v>
      </c>
      <c r="GT161">
        <v>0</v>
      </c>
      <c r="GU161" t="s">
        <v>6</v>
      </c>
      <c r="GV161">
        <f>ROUND((GT161),2)</f>
        <v>0</v>
      </c>
      <c r="GW161">
        <v>1</v>
      </c>
      <c r="GX161">
        <f>ROUND(HC161*I161,2)</f>
        <v>0</v>
      </c>
      <c r="HA161">
        <v>0</v>
      </c>
      <c r="HB161">
        <v>0</v>
      </c>
      <c r="HC161">
        <f>GV161*GW161</f>
        <v>0</v>
      </c>
      <c r="IK161">
        <v>0</v>
      </c>
    </row>
    <row r="163" spans="1:245" x14ac:dyDescent="0.2">
      <c r="A163" s="2">
        <v>51</v>
      </c>
      <c r="B163" s="2">
        <f>B157</f>
        <v>1</v>
      </c>
      <c r="C163" s="2">
        <f>A157</f>
        <v>4</v>
      </c>
      <c r="D163" s="2">
        <f>ROW(A157)</f>
        <v>157</v>
      </c>
      <c r="E163" s="2"/>
      <c r="F163" s="2" t="str">
        <f>IF(F157&lt;&gt;"",F157,"")</f>
        <v>Новый раздел</v>
      </c>
      <c r="G163" s="2" t="str">
        <f>IF(G157&lt;&gt;"",G157,"")</f>
        <v>Материалы Заказчика</v>
      </c>
      <c r="H163" s="2">
        <v>0</v>
      </c>
      <c r="I163" s="2"/>
      <c r="J163" s="2"/>
      <c r="K163" s="2"/>
      <c r="L163" s="2"/>
      <c r="M163" s="2"/>
      <c r="N163" s="2"/>
      <c r="O163" s="2">
        <f t="shared" ref="O163:T163" si="121">ROUND(AB163,2)</f>
        <v>785200</v>
      </c>
      <c r="P163" s="2">
        <f t="shared" si="121"/>
        <v>785200</v>
      </c>
      <c r="Q163" s="2">
        <f t="shared" si="121"/>
        <v>0</v>
      </c>
      <c r="R163" s="2">
        <f t="shared" si="121"/>
        <v>0</v>
      </c>
      <c r="S163" s="2">
        <f t="shared" si="121"/>
        <v>0</v>
      </c>
      <c r="T163" s="2">
        <f t="shared" si="121"/>
        <v>0</v>
      </c>
      <c r="U163" s="2">
        <f>AH163</f>
        <v>0</v>
      </c>
      <c r="V163" s="2">
        <f>AI163</f>
        <v>0</v>
      </c>
      <c r="W163" s="2">
        <f>ROUND(AJ163,2)</f>
        <v>0</v>
      </c>
      <c r="X163" s="2">
        <f>ROUND(AK163,2)</f>
        <v>0</v>
      </c>
      <c r="Y163" s="2">
        <f>ROUND(AL163,2)</f>
        <v>0</v>
      </c>
      <c r="Z163" s="2"/>
      <c r="AA163" s="2"/>
      <c r="AB163" s="2">
        <f>ROUND(SUMIF(AA161:AA161,"=48276314",O161:O161),2)</f>
        <v>785200</v>
      </c>
      <c r="AC163" s="2">
        <f>ROUND(SUMIF(AA161:AA161,"=48276314",P161:P161),2)</f>
        <v>785200</v>
      </c>
      <c r="AD163" s="2">
        <f>ROUND(SUMIF(AA161:AA161,"=48276314",Q161:Q161),2)</f>
        <v>0</v>
      </c>
      <c r="AE163" s="2">
        <f>ROUND(SUMIF(AA161:AA161,"=48276314",R161:R161),2)</f>
        <v>0</v>
      </c>
      <c r="AF163" s="2">
        <f>ROUND(SUMIF(AA161:AA161,"=48276314",S161:S161),2)</f>
        <v>0</v>
      </c>
      <c r="AG163" s="2">
        <f>ROUND(SUMIF(AA161:AA161,"=48276314",T161:T161),2)</f>
        <v>0</v>
      </c>
      <c r="AH163" s="2">
        <f>SUMIF(AA161:AA161,"=48276314",U161:U161)</f>
        <v>0</v>
      </c>
      <c r="AI163" s="2">
        <f>SUMIF(AA161:AA161,"=48276314",V161:V161)</f>
        <v>0</v>
      </c>
      <c r="AJ163" s="2">
        <f>ROUND(SUMIF(AA161:AA161,"=48276314",W161:W161),2)</f>
        <v>0</v>
      </c>
      <c r="AK163" s="2">
        <f>ROUND(SUMIF(AA161:AA161,"=48276314",X161:X161),2)</f>
        <v>0</v>
      </c>
      <c r="AL163" s="2">
        <f>ROUND(SUMIF(AA161:AA161,"=48276314",Y161:Y161),2)</f>
        <v>0</v>
      </c>
      <c r="AM163" s="2"/>
      <c r="AN163" s="2"/>
      <c r="AO163" s="2">
        <f t="shared" ref="AO163:BC163" si="122">ROUND(BX163,2)</f>
        <v>0</v>
      </c>
      <c r="AP163" s="2">
        <f t="shared" si="122"/>
        <v>0</v>
      </c>
      <c r="AQ163" s="2">
        <f t="shared" si="122"/>
        <v>0</v>
      </c>
      <c r="AR163" s="2">
        <f t="shared" si="122"/>
        <v>785200</v>
      </c>
      <c r="AS163" s="2">
        <f t="shared" si="122"/>
        <v>785200</v>
      </c>
      <c r="AT163" s="2">
        <f t="shared" si="122"/>
        <v>0</v>
      </c>
      <c r="AU163" s="2">
        <f t="shared" si="122"/>
        <v>0</v>
      </c>
      <c r="AV163" s="2">
        <f t="shared" si="122"/>
        <v>785200</v>
      </c>
      <c r="AW163" s="2">
        <f t="shared" si="122"/>
        <v>785200</v>
      </c>
      <c r="AX163" s="2">
        <f t="shared" si="122"/>
        <v>0</v>
      </c>
      <c r="AY163" s="2">
        <f t="shared" si="122"/>
        <v>785200</v>
      </c>
      <c r="AZ163" s="2">
        <f t="shared" si="122"/>
        <v>0</v>
      </c>
      <c r="BA163" s="2">
        <f t="shared" si="122"/>
        <v>0</v>
      </c>
      <c r="BB163" s="2">
        <f t="shared" si="122"/>
        <v>0</v>
      </c>
      <c r="BC163" s="2">
        <f t="shared" si="122"/>
        <v>0</v>
      </c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>
        <f>ROUND(SUMIF(AA161:AA161,"=48276314",FQ161:FQ161),2)</f>
        <v>0</v>
      </c>
      <c r="BY163" s="2">
        <f>ROUND(SUMIF(AA161:AA161,"=48276314",FR161:FR161),2)</f>
        <v>0</v>
      </c>
      <c r="BZ163" s="2">
        <f>ROUND(SUMIF(AA161:AA161,"=48276314",GL161:GL161),2)</f>
        <v>0</v>
      </c>
      <c r="CA163" s="2">
        <f>ROUND(SUMIF(AA161:AA161,"=48276314",GM161:GM161),2)</f>
        <v>785200</v>
      </c>
      <c r="CB163" s="2">
        <f>ROUND(SUMIF(AA161:AA161,"=48276314",GN161:GN161),2)</f>
        <v>785200</v>
      </c>
      <c r="CC163" s="2">
        <f>ROUND(SUMIF(AA161:AA161,"=48276314",GO161:GO161),2)</f>
        <v>0</v>
      </c>
      <c r="CD163" s="2">
        <f>ROUND(SUMIF(AA161:AA161,"=48276314",GP161:GP161),2)</f>
        <v>0</v>
      </c>
      <c r="CE163" s="2">
        <f>AC163-BX163</f>
        <v>785200</v>
      </c>
      <c r="CF163" s="2">
        <f>AC163-BY163</f>
        <v>785200</v>
      </c>
      <c r="CG163" s="2">
        <f>BX163-BZ163</f>
        <v>0</v>
      </c>
      <c r="CH163" s="2">
        <f>AC163-BX163-BY163+BZ163</f>
        <v>785200</v>
      </c>
      <c r="CI163" s="2">
        <f>BY163-BZ163</f>
        <v>0</v>
      </c>
      <c r="CJ163" s="2">
        <f>ROUND(SUMIF(AA161:AA161,"=48276314",GX161:GX161),2)</f>
        <v>0</v>
      </c>
      <c r="CK163" s="2">
        <f>ROUND(SUMIF(AA161:AA161,"=48276314",GY161:GY161),2)</f>
        <v>0</v>
      </c>
      <c r="CL163" s="2">
        <f>ROUND(SUMIF(AA161:AA161,"=48276314",GZ161:GZ161),2)</f>
        <v>0</v>
      </c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>
        <v>0</v>
      </c>
    </row>
    <row r="165" spans="1:245" x14ac:dyDescent="0.2">
      <c r="A165" s="4">
        <v>50</v>
      </c>
      <c r="B165" s="4">
        <v>0</v>
      </c>
      <c r="C165" s="4">
        <v>0</v>
      </c>
      <c r="D165" s="4">
        <v>1</v>
      </c>
      <c r="E165" s="4">
        <v>201</v>
      </c>
      <c r="F165" s="4">
        <f>ROUND(Source!O163,O165)</f>
        <v>785200</v>
      </c>
      <c r="G165" s="4" t="s">
        <v>130</v>
      </c>
      <c r="H165" s="4" t="s">
        <v>131</v>
      </c>
      <c r="I165" s="4"/>
      <c r="J165" s="4"/>
      <c r="K165" s="4">
        <v>201</v>
      </c>
      <c r="L165" s="4">
        <v>1</v>
      </c>
      <c r="M165" s="4">
        <v>3</v>
      </c>
      <c r="N165" s="4" t="s">
        <v>6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45" x14ac:dyDescent="0.2">
      <c r="A166" s="4">
        <v>50</v>
      </c>
      <c r="B166" s="4">
        <v>0</v>
      </c>
      <c r="C166" s="4">
        <v>0</v>
      </c>
      <c r="D166" s="4">
        <v>1</v>
      </c>
      <c r="E166" s="4">
        <v>202</v>
      </c>
      <c r="F166" s="4">
        <f>ROUND(Source!P163,O166)</f>
        <v>785200</v>
      </c>
      <c r="G166" s="4" t="s">
        <v>132</v>
      </c>
      <c r="H166" s="4" t="s">
        <v>133</v>
      </c>
      <c r="I166" s="4"/>
      <c r="J166" s="4"/>
      <c r="K166" s="4">
        <v>202</v>
      </c>
      <c r="L166" s="4">
        <v>2</v>
      </c>
      <c r="M166" s="4">
        <v>3</v>
      </c>
      <c r="N166" s="4" t="s">
        <v>6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45" x14ac:dyDescent="0.2">
      <c r="A167" s="4">
        <v>50</v>
      </c>
      <c r="B167" s="4">
        <v>0</v>
      </c>
      <c r="C167" s="4">
        <v>0</v>
      </c>
      <c r="D167" s="4">
        <v>1</v>
      </c>
      <c r="E167" s="4">
        <v>222</v>
      </c>
      <c r="F167" s="4">
        <f>ROUND(Source!AO163,O167)</f>
        <v>0</v>
      </c>
      <c r="G167" s="4" t="s">
        <v>134</v>
      </c>
      <c r="H167" s="4" t="s">
        <v>135</v>
      </c>
      <c r="I167" s="4"/>
      <c r="J167" s="4"/>
      <c r="K167" s="4">
        <v>222</v>
      </c>
      <c r="L167" s="4">
        <v>3</v>
      </c>
      <c r="M167" s="4">
        <v>3</v>
      </c>
      <c r="N167" s="4" t="s">
        <v>6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45" x14ac:dyDescent="0.2">
      <c r="A168" s="4">
        <v>50</v>
      </c>
      <c r="B168" s="4">
        <v>0</v>
      </c>
      <c r="C168" s="4">
        <v>0</v>
      </c>
      <c r="D168" s="4">
        <v>1</v>
      </c>
      <c r="E168" s="4">
        <v>225</v>
      </c>
      <c r="F168" s="4">
        <f>ROUND(Source!AV163,O168)</f>
        <v>785200</v>
      </c>
      <c r="G168" s="4" t="s">
        <v>136</v>
      </c>
      <c r="H168" s="4" t="s">
        <v>137</v>
      </c>
      <c r="I168" s="4"/>
      <c r="J168" s="4"/>
      <c r="K168" s="4">
        <v>225</v>
      </c>
      <c r="L168" s="4">
        <v>4</v>
      </c>
      <c r="M168" s="4">
        <v>3</v>
      </c>
      <c r="N168" s="4" t="s">
        <v>6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45" x14ac:dyDescent="0.2">
      <c r="A169" s="4">
        <v>50</v>
      </c>
      <c r="B169" s="4">
        <v>0</v>
      </c>
      <c r="C169" s="4">
        <v>0</v>
      </c>
      <c r="D169" s="4">
        <v>1</v>
      </c>
      <c r="E169" s="4">
        <v>226</v>
      </c>
      <c r="F169" s="4">
        <f>ROUND(Source!AW163,O169)</f>
        <v>785200</v>
      </c>
      <c r="G169" s="4" t="s">
        <v>138</v>
      </c>
      <c r="H169" s="4" t="s">
        <v>139</v>
      </c>
      <c r="I169" s="4"/>
      <c r="J169" s="4"/>
      <c r="K169" s="4">
        <v>226</v>
      </c>
      <c r="L169" s="4">
        <v>5</v>
      </c>
      <c r="M169" s="4">
        <v>3</v>
      </c>
      <c r="N169" s="4" t="s">
        <v>6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45" x14ac:dyDescent="0.2">
      <c r="A170" s="4">
        <v>50</v>
      </c>
      <c r="B170" s="4">
        <v>0</v>
      </c>
      <c r="C170" s="4">
        <v>0</v>
      </c>
      <c r="D170" s="4">
        <v>1</v>
      </c>
      <c r="E170" s="4">
        <v>227</v>
      </c>
      <c r="F170" s="4">
        <f>ROUND(Source!AX163,O170)</f>
        <v>0</v>
      </c>
      <c r="G170" s="4" t="s">
        <v>140</v>
      </c>
      <c r="H170" s="4" t="s">
        <v>141</v>
      </c>
      <c r="I170" s="4"/>
      <c r="J170" s="4"/>
      <c r="K170" s="4">
        <v>227</v>
      </c>
      <c r="L170" s="4">
        <v>6</v>
      </c>
      <c r="M170" s="4">
        <v>3</v>
      </c>
      <c r="N170" s="4" t="s">
        <v>6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45" x14ac:dyDescent="0.2">
      <c r="A171" s="4">
        <v>50</v>
      </c>
      <c r="B171" s="4">
        <v>0</v>
      </c>
      <c r="C171" s="4">
        <v>0</v>
      </c>
      <c r="D171" s="4">
        <v>1</v>
      </c>
      <c r="E171" s="4">
        <v>228</v>
      </c>
      <c r="F171" s="4">
        <f>ROUND(Source!AY163,O171)</f>
        <v>785200</v>
      </c>
      <c r="G171" s="4" t="s">
        <v>142</v>
      </c>
      <c r="H171" s="4" t="s">
        <v>143</v>
      </c>
      <c r="I171" s="4"/>
      <c r="J171" s="4"/>
      <c r="K171" s="4">
        <v>228</v>
      </c>
      <c r="L171" s="4">
        <v>7</v>
      </c>
      <c r="M171" s="4">
        <v>3</v>
      </c>
      <c r="N171" s="4" t="s">
        <v>6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45" x14ac:dyDescent="0.2">
      <c r="A172" s="4">
        <v>50</v>
      </c>
      <c r="B172" s="4">
        <v>0</v>
      </c>
      <c r="C172" s="4">
        <v>0</v>
      </c>
      <c r="D172" s="4">
        <v>1</v>
      </c>
      <c r="E172" s="4">
        <v>216</v>
      </c>
      <c r="F172" s="4">
        <f>ROUND(Source!AP163,O172)</f>
        <v>0</v>
      </c>
      <c r="G172" s="4" t="s">
        <v>144</v>
      </c>
      <c r="H172" s="4" t="s">
        <v>145</v>
      </c>
      <c r="I172" s="4"/>
      <c r="J172" s="4"/>
      <c r="K172" s="4">
        <v>216</v>
      </c>
      <c r="L172" s="4">
        <v>8</v>
      </c>
      <c r="M172" s="4">
        <v>3</v>
      </c>
      <c r="N172" s="4" t="s">
        <v>6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45" x14ac:dyDescent="0.2">
      <c r="A173" s="4">
        <v>50</v>
      </c>
      <c r="B173" s="4">
        <v>0</v>
      </c>
      <c r="C173" s="4">
        <v>0</v>
      </c>
      <c r="D173" s="4">
        <v>1</v>
      </c>
      <c r="E173" s="4">
        <v>223</v>
      </c>
      <c r="F173" s="4">
        <f>ROUND(Source!AQ163,O173)</f>
        <v>0</v>
      </c>
      <c r="G173" s="4" t="s">
        <v>146</v>
      </c>
      <c r="H173" s="4" t="s">
        <v>147</v>
      </c>
      <c r="I173" s="4"/>
      <c r="J173" s="4"/>
      <c r="K173" s="4">
        <v>223</v>
      </c>
      <c r="L173" s="4">
        <v>9</v>
      </c>
      <c r="M173" s="4">
        <v>3</v>
      </c>
      <c r="N173" s="4" t="s">
        <v>6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45" x14ac:dyDescent="0.2">
      <c r="A174" s="4">
        <v>50</v>
      </c>
      <c r="B174" s="4">
        <v>0</v>
      </c>
      <c r="C174" s="4">
        <v>0</v>
      </c>
      <c r="D174" s="4">
        <v>1</v>
      </c>
      <c r="E174" s="4">
        <v>229</v>
      </c>
      <c r="F174" s="4">
        <f>ROUND(Source!AZ163,O174)</f>
        <v>0</v>
      </c>
      <c r="G174" s="4" t="s">
        <v>148</v>
      </c>
      <c r="H174" s="4" t="s">
        <v>149</v>
      </c>
      <c r="I174" s="4"/>
      <c r="J174" s="4"/>
      <c r="K174" s="4">
        <v>229</v>
      </c>
      <c r="L174" s="4">
        <v>10</v>
      </c>
      <c r="M174" s="4">
        <v>3</v>
      </c>
      <c r="N174" s="4" t="s">
        <v>6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45" x14ac:dyDescent="0.2">
      <c r="A175" s="4">
        <v>50</v>
      </c>
      <c r="B175" s="4">
        <v>0</v>
      </c>
      <c r="C175" s="4">
        <v>0</v>
      </c>
      <c r="D175" s="4">
        <v>1</v>
      </c>
      <c r="E175" s="4">
        <v>203</v>
      </c>
      <c r="F175" s="4">
        <f>ROUND(Source!Q163,O175)</f>
        <v>0</v>
      </c>
      <c r="G175" s="4" t="s">
        <v>150</v>
      </c>
      <c r="H175" s="4" t="s">
        <v>151</v>
      </c>
      <c r="I175" s="4"/>
      <c r="J175" s="4"/>
      <c r="K175" s="4">
        <v>203</v>
      </c>
      <c r="L175" s="4">
        <v>11</v>
      </c>
      <c r="M175" s="4">
        <v>3</v>
      </c>
      <c r="N175" s="4" t="s">
        <v>6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45" x14ac:dyDescent="0.2">
      <c r="A176" s="4">
        <v>50</v>
      </c>
      <c r="B176" s="4">
        <v>0</v>
      </c>
      <c r="C176" s="4">
        <v>0</v>
      </c>
      <c r="D176" s="4">
        <v>1</v>
      </c>
      <c r="E176" s="4">
        <v>231</v>
      </c>
      <c r="F176" s="4">
        <f>ROUND(Source!BB163,O176)</f>
        <v>0</v>
      </c>
      <c r="G176" s="4" t="s">
        <v>152</v>
      </c>
      <c r="H176" s="4" t="s">
        <v>153</v>
      </c>
      <c r="I176" s="4"/>
      <c r="J176" s="4"/>
      <c r="K176" s="4">
        <v>231</v>
      </c>
      <c r="L176" s="4">
        <v>12</v>
      </c>
      <c r="M176" s="4">
        <v>3</v>
      </c>
      <c r="N176" s="4" t="s">
        <v>6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88" x14ac:dyDescent="0.2">
      <c r="A177" s="4">
        <v>50</v>
      </c>
      <c r="B177" s="4">
        <v>0</v>
      </c>
      <c r="C177" s="4">
        <v>0</v>
      </c>
      <c r="D177" s="4">
        <v>1</v>
      </c>
      <c r="E177" s="4">
        <v>204</v>
      </c>
      <c r="F177" s="4">
        <f>ROUND(Source!R163,O177)</f>
        <v>0</v>
      </c>
      <c r="G177" s="4" t="s">
        <v>154</v>
      </c>
      <c r="H177" s="4" t="s">
        <v>155</v>
      </c>
      <c r="I177" s="4"/>
      <c r="J177" s="4"/>
      <c r="K177" s="4">
        <v>204</v>
      </c>
      <c r="L177" s="4">
        <v>13</v>
      </c>
      <c r="M177" s="4">
        <v>3</v>
      </c>
      <c r="N177" s="4" t="s">
        <v>6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88" x14ac:dyDescent="0.2">
      <c r="A178" s="4">
        <v>50</v>
      </c>
      <c r="B178" s="4">
        <v>0</v>
      </c>
      <c r="C178" s="4">
        <v>0</v>
      </c>
      <c r="D178" s="4">
        <v>1</v>
      </c>
      <c r="E178" s="4">
        <v>205</v>
      </c>
      <c r="F178" s="4">
        <f>ROUND(Source!S163,O178)</f>
        <v>0</v>
      </c>
      <c r="G178" s="4" t="s">
        <v>156</v>
      </c>
      <c r="H178" s="4" t="s">
        <v>157</v>
      </c>
      <c r="I178" s="4"/>
      <c r="J178" s="4"/>
      <c r="K178" s="4">
        <v>205</v>
      </c>
      <c r="L178" s="4">
        <v>14</v>
      </c>
      <c r="M178" s="4">
        <v>3</v>
      </c>
      <c r="N178" s="4" t="s">
        <v>6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88" x14ac:dyDescent="0.2">
      <c r="A179" s="4">
        <v>50</v>
      </c>
      <c r="B179" s="4">
        <v>0</v>
      </c>
      <c r="C179" s="4">
        <v>0</v>
      </c>
      <c r="D179" s="4">
        <v>1</v>
      </c>
      <c r="E179" s="4">
        <v>232</v>
      </c>
      <c r="F179" s="4">
        <f>ROUND(Source!BC163,O179)</f>
        <v>0</v>
      </c>
      <c r="G179" s="4" t="s">
        <v>158</v>
      </c>
      <c r="H179" s="4" t="s">
        <v>159</v>
      </c>
      <c r="I179" s="4"/>
      <c r="J179" s="4"/>
      <c r="K179" s="4">
        <v>232</v>
      </c>
      <c r="L179" s="4">
        <v>15</v>
      </c>
      <c r="M179" s="4">
        <v>3</v>
      </c>
      <c r="N179" s="4" t="s">
        <v>6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88" x14ac:dyDescent="0.2">
      <c r="A180" s="4">
        <v>50</v>
      </c>
      <c r="B180" s="4">
        <v>0</v>
      </c>
      <c r="C180" s="4">
        <v>0</v>
      </c>
      <c r="D180" s="4">
        <v>1</v>
      </c>
      <c r="E180" s="4">
        <v>214</v>
      </c>
      <c r="F180" s="4">
        <f>ROUND(Source!AS163,O180)</f>
        <v>785200</v>
      </c>
      <c r="G180" s="4" t="s">
        <v>160</v>
      </c>
      <c r="H180" s="4" t="s">
        <v>161</v>
      </c>
      <c r="I180" s="4"/>
      <c r="J180" s="4"/>
      <c r="K180" s="4">
        <v>214</v>
      </c>
      <c r="L180" s="4">
        <v>16</v>
      </c>
      <c r="M180" s="4">
        <v>3</v>
      </c>
      <c r="N180" s="4" t="s">
        <v>6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88" x14ac:dyDescent="0.2">
      <c r="A181" s="4">
        <v>50</v>
      </c>
      <c r="B181" s="4">
        <v>0</v>
      </c>
      <c r="C181" s="4">
        <v>0</v>
      </c>
      <c r="D181" s="4">
        <v>1</v>
      </c>
      <c r="E181" s="4">
        <v>215</v>
      </c>
      <c r="F181" s="4">
        <f>ROUND(Source!AT163,O181)</f>
        <v>0</v>
      </c>
      <c r="G181" s="4" t="s">
        <v>162</v>
      </c>
      <c r="H181" s="4" t="s">
        <v>163</v>
      </c>
      <c r="I181" s="4"/>
      <c r="J181" s="4"/>
      <c r="K181" s="4">
        <v>215</v>
      </c>
      <c r="L181" s="4">
        <v>17</v>
      </c>
      <c r="M181" s="4">
        <v>3</v>
      </c>
      <c r="N181" s="4" t="s">
        <v>6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88" x14ac:dyDescent="0.2">
      <c r="A182" s="4">
        <v>50</v>
      </c>
      <c r="B182" s="4">
        <v>0</v>
      </c>
      <c r="C182" s="4">
        <v>0</v>
      </c>
      <c r="D182" s="4">
        <v>1</v>
      </c>
      <c r="E182" s="4">
        <v>217</v>
      </c>
      <c r="F182" s="4">
        <f>ROUND(Source!AU163,O182)</f>
        <v>0</v>
      </c>
      <c r="G182" s="4" t="s">
        <v>164</v>
      </c>
      <c r="H182" s="4" t="s">
        <v>165</v>
      </c>
      <c r="I182" s="4"/>
      <c r="J182" s="4"/>
      <c r="K182" s="4">
        <v>217</v>
      </c>
      <c r="L182" s="4">
        <v>18</v>
      </c>
      <c r="M182" s="4">
        <v>3</v>
      </c>
      <c r="N182" s="4" t="s">
        <v>6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88" x14ac:dyDescent="0.2">
      <c r="A183" s="4">
        <v>50</v>
      </c>
      <c r="B183" s="4">
        <v>0</v>
      </c>
      <c r="C183" s="4">
        <v>0</v>
      </c>
      <c r="D183" s="4">
        <v>1</v>
      </c>
      <c r="E183" s="4">
        <v>230</v>
      </c>
      <c r="F183" s="4">
        <f>ROUND(Source!BA163,O183)</f>
        <v>0</v>
      </c>
      <c r="G183" s="4" t="s">
        <v>166</v>
      </c>
      <c r="H183" s="4" t="s">
        <v>167</v>
      </c>
      <c r="I183" s="4"/>
      <c r="J183" s="4"/>
      <c r="K183" s="4">
        <v>230</v>
      </c>
      <c r="L183" s="4">
        <v>19</v>
      </c>
      <c r="M183" s="4">
        <v>3</v>
      </c>
      <c r="N183" s="4" t="s">
        <v>6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88" x14ac:dyDescent="0.2">
      <c r="A184" s="4">
        <v>50</v>
      </c>
      <c r="B184" s="4">
        <v>0</v>
      </c>
      <c r="C184" s="4">
        <v>0</v>
      </c>
      <c r="D184" s="4">
        <v>1</v>
      </c>
      <c r="E184" s="4">
        <v>206</v>
      </c>
      <c r="F184" s="4">
        <f>ROUND(Source!T163,O184)</f>
        <v>0</v>
      </c>
      <c r="G184" s="4" t="s">
        <v>168</v>
      </c>
      <c r="H184" s="4" t="s">
        <v>169</v>
      </c>
      <c r="I184" s="4"/>
      <c r="J184" s="4"/>
      <c r="K184" s="4">
        <v>206</v>
      </c>
      <c r="L184" s="4">
        <v>20</v>
      </c>
      <c r="M184" s="4">
        <v>3</v>
      </c>
      <c r="N184" s="4" t="s">
        <v>6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88" x14ac:dyDescent="0.2">
      <c r="A185" s="4">
        <v>50</v>
      </c>
      <c r="B185" s="4">
        <v>0</v>
      </c>
      <c r="C185" s="4">
        <v>0</v>
      </c>
      <c r="D185" s="4">
        <v>1</v>
      </c>
      <c r="E185" s="4">
        <v>207</v>
      </c>
      <c r="F185" s="4">
        <f>Source!U163</f>
        <v>0</v>
      </c>
      <c r="G185" s="4" t="s">
        <v>170</v>
      </c>
      <c r="H185" s="4" t="s">
        <v>171</v>
      </c>
      <c r="I185" s="4"/>
      <c r="J185" s="4"/>
      <c r="K185" s="4">
        <v>207</v>
      </c>
      <c r="L185" s="4">
        <v>21</v>
      </c>
      <c r="M185" s="4">
        <v>3</v>
      </c>
      <c r="N185" s="4" t="s">
        <v>6</v>
      </c>
      <c r="O185" s="4">
        <v>-1</v>
      </c>
      <c r="P185" s="4"/>
      <c r="Q185" s="4"/>
      <c r="R185" s="4"/>
      <c r="S185" s="4"/>
      <c r="T185" s="4"/>
      <c r="U185" s="4"/>
      <c r="V185" s="4"/>
      <c r="W185" s="4"/>
    </row>
    <row r="186" spans="1:88" x14ac:dyDescent="0.2">
      <c r="A186" s="4">
        <v>50</v>
      </c>
      <c r="B186" s="4">
        <v>0</v>
      </c>
      <c r="C186" s="4">
        <v>0</v>
      </c>
      <c r="D186" s="4">
        <v>1</v>
      </c>
      <c r="E186" s="4">
        <v>208</v>
      </c>
      <c r="F186" s="4">
        <f>Source!V163</f>
        <v>0</v>
      </c>
      <c r="G186" s="4" t="s">
        <v>172</v>
      </c>
      <c r="H186" s="4" t="s">
        <v>173</v>
      </c>
      <c r="I186" s="4"/>
      <c r="J186" s="4"/>
      <c r="K186" s="4">
        <v>208</v>
      </c>
      <c r="L186" s="4">
        <v>22</v>
      </c>
      <c r="M186" s="4">
        <v>3</v>
      </c>
      <c r="N186" s="4" t="s">
        <v>6</v>
      </c>
      <c r="O186" s="4">
        <v>-1</v>
      </c>
      <c r="P186" s="4"/>
      <c r="Q186" s="4"/>
      <c r="R186" s="4"/>
      <c r="S186" s="4"/>
      <c r="T186" s="4"/>
      <c r="U186" s="4"/>
      <c r="V186" s="4"/>
      <c r="W186" s="4"/>
    </row>
    <row r="187" spans="1:88" x14ac:dyDescent="0.2">
      <c r="A187" s="4">
        <v>50</v>
      </c>
      <c r="B187" s="4">
        <v>0</v>
      </c>
      <c r="C187" s="4">
        <v>0</v>
      </c>
      <c r="D187" s="4">
        <v>1</v>
      </c>
      <c r="E187" s="4">
        <v>209</v>
      </c>
      <c r="F187" s="4">
        <f>ROUND(Source!W163,O187)</f>
        <v>0</v>
      </c>
      <c r="G187" s="4" t="s">
        <v>174</v>
      </c>
      <c r="H187" s="4" t="s">
        <v>175</v>
      </c>
      <c r="I187" s="4"/>
      <c r="J187" s="4"/>
      <c r="K187" s="4">
        <v>209</v>
      </c>
      <c r="L187" s="4">
        <v>23</v>
      </c>
      <c r="M187" s="4">
        <v>3</v>
      </c>
      <c r="N187" s="4" t="s">
        <v>6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88" x14ac:dyDescent="0.2">
      <c r="A188" s="4">
        <v>50</v>
      </c>
      <c r="B188" s="4">
        <v>0</v>
      </c>
      <c r="C188" s="4">
        <v>0</v>
      </c>
      <c r="D188" s="4">
        <v>1</v>
      </c>
      <c r="E188" s="4">
        <v>210</v>
      </c>
      <c r="F188" s="4">
        <f>ROUND(Source!X163,O188)</f>
        <v>0</v>
      </c>
      <c r="G188" s="4" t="s">
        <v>176</v>
      </c>
      <c r="H188" s="4" t="s">
        <v>177</v>
      </c>
      <c r="I188" s="4"/>
      <c r="J188" s="4"/>
      <c r="K188" s="4">
        <v>210</v>
      </c>
      <c r="L188" s="4">
        <v>24</v>
      </c>
      <c r="M188" s="4">
        <v>3</v>
      </c>
      <c r="N188" s="4" t="s">
        <v>6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88" x14ac:dyDescent="0.2">
      <c r="A189" s="4">
        <v>50</v>
      </c>
      <c r="B189" s="4">
        <v>0</v>
      </c>
      <c r="C189" s="4">
        <v>0</v>
      </c>
      <c r="D189" s="4">
        <v>1</v>
      </c>
      <c r="E189" s="4">
        <v>211</v>
      </c>
      <c r="F189" s="4">
        <f>ROUND(Source!Y163,O189)</f>
        <v>0</v>
      </c>
      <c r="G189" s="4" t="s">
        <v>178</v>
      </c>
      <c r="H189" s="4" t="s">
        <v>179</v>
      </c>
      <c r="I189" s="4"/>
      <c r="J189" s="4"/>
      <c r="K189" s="4">
        <v>211</v>
      </c>
      <c r="L189" s="4">
        <v>25</v>
      </c>
      <c r="M189" s="4">
        <v>3</v>
      </c>
      <c r="N189" s="4" t="s">
        <v>6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88" x14ac:dyDescent="0.2">
      <c r="A190" s="4">
        <v>50</v>
      </c>
      <c r="B190" s="4">
        <v>0</v>
      </c>
      <c r="C190" s="4">
        <v>0</v>
      </c>
      <c r="D190" s="4">
        <v>1</v>
      </c>
      <c r="E190" s="4">
        <v>224</v>
      </c>
      <c r="F190" s="4">
        <f>ROUND(Source!AR163,O190)</f>
        <v>785200</v>
      </c>
      <c r="G190" s="4" t="s">
        <v>180</v>
      </c>
      <c r="H190" s="4" t="s">
        <v>181</v>
      </c>
      <c r="I190" s="4"/>
      <c r="J190" s="4"/>
      <c r="K190" s="4">
        <v>224</v>
      </c>
      <c r="L190" s="4">
        <v>26</v>
      </c>
      <c r="M190" s="4">
        <v>3</v>
      </c>
      <c r="N190" s="4" t="s">
        <v>6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2" spans="1:88" x14ac:dyDescent="0.2">
      <c r="A192" s="1">
        <v>4</v>
      </c>
      <c r="B192" s="1">
        <v>1</v>
      </c>
      <c r="C192" s="1"/>
      <c r="D192" s="1">
        <f>ROW(A199)</f>
        <v>199</v>
      </c>
      <c r="E192" s="1"/>
      <c r="F192" s="1" t="s">
        <v>27</v>
      </c>
      <c r="G192" s="1" t="s">
        <v>272</v>
      </c>
      <c r="H192" s="1" t="s">
        <v>6</v>
      </c>
      <c r="I192" s="1">
        <v>0</v>
      </c>
      <c r="J192" s="1"/>
      <c r="K192" s="1">
        <v>-1</v>
      </c>
      <c r="L192" s="1"/>
      <c r="M192" s="1"/>
      <c r="N192" s="1"/>
      <c r="O192" s="1"/>
      <c r="P192" s="1"/>
      <c r="Q192" s="1"/>
      <c r="R192" s="1"/>
      <c r="S192" s="1"/>
      <c r="T192" s="1"/>
      <c r="U192" s="1" t="s">
        <v>6</v>
      </c>
      <c r="V192" s="1">
        <v>0</v>
      </c>
      <c r="W192" s="1"/>
      <c r="X192" s="1"/>
      <c r="Y192" s="1"/>
      <c r="Z192" s="1"/>
      <c r="AA192" s="1"/>
      <c r="AB192" s="1" t="s">
        <v>6</v>
      </c>
      <c r="AC192" s="1" t="s">
        <v>6</v>
      </c>
      <c r="AD192" s="1" t="s">
        <v>6</v>
      </c>
      <c r="AE192" s="1" t="s">
        <v>6</v>
      </c>
      <c r="AF192" s="1" t="s">
        <v>6</v>
      </c>
      <c r="AG192" s="1" t="s">
        <v>6</v>
      </c>
      <c r="AH192" s="1"/>
      <c r="AI192" s="1"/>
      <c r="AJ192" s="1"/>
      <c r="AK192" s="1"/>
      <c r="AL192" s="1"/>
      <c r="AM192" s="1"/>
      <c r="AN192" s="1"/>
      <c r="AO192" s="1"/>
      <c r="AP192" s="1" t="s">
        <v>6</v>
      </c>
      <c r="AQ192" s="1" t="s">
        <v>6</v>
      </c>
      <c r="AR192" s="1" t="s">
        <v>6</v>
      </c>
      <c r="AS192" s="1"/>
      <c r="AT192" s="1"/>
      <c r="AU192" s="1"/>
      <c r="AV192" s="1"/>
      <c r="AW192" s="1"/>
      <c r="AX192" s="1"/>
      <c r="AY192" s="1"/>
      <c r="AZ192" s="1" t="s">
        <v>6</v>
      </c>
      <c r="BA192" s="1"/>
      <c r="BB192" s="1" t="s">
        <v>6</v>
      </c>
      <c r="BC192" s="1" t="s">
        <v>6</v>
      </c>
      <c r="BD192" s="1" t="s">
        <v>6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6</v>
      </c>
      <c r="BK192" s="1" t="s">
        <v>6</v>
      </c>
      <c r="BL192" s="1" t="s">
        <v>6</v>
      </c>
      <c r="BM192" s="1" t="s">
        <v>6</v>
      </c>
      <c r="BN192" s="1" t="s">
        <v>6</v>
      </c>
      <c r="BO192" s="1" t="s">
        <v>6</v>
      </c>
      <c r="BP192" s="1" t="s">
        <v>6</v>
      </c>
      <c r="BQ192" s="1"/>
      <c r="BR192" s="1"/>
      <c r="BS192" s="1"/>
      <c r="BT192" s="1"/>
      <c r="BU192" s="1"/>
      <c r="BV192" s="1"/>
      <c r="BW192" s="1"/>
      <c r="BX192" s="1">
        <v>0</v>
      </c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>
        <v>0</v>
      </c>
    </row>
    <row r="194" spans="1:245" x14ac:dyDescent="0.2">
      <c r="A194" s="2">
        <v>52</v>
      </c>
      <c r="B194" s="2">
        <f t="shared" ref="B194:G194" si="123">B199</f>
        <v>1</v>
      </c>
      <c r="C194" s="2">
        <f t="shared" si="123"/>
        <v>4</v>
      </c>
      <c r="D194" s="2">
        <f t="shared" si="123"/>
        <v>192</v>
      </c>
      <c r="E194" s="2">
        <f t="shared" si="123"/>
        <v>0</v>
      </c>
      <c r="F194" s="2" t="str">
        <f t="shared" si="123"/>
        <v>Новый раздел</v>
      </c>
      <c r="G194" s="2" t="str">
        <f t="shared" si="123"/>
        <v>Материалы не учтенные ценником</v>
      </c>
      <c r="H194" s="2"/>
      <c r="I194" s="2"/>
      <c r="J194" s="2"/>
      <c r="K194" s="2"/>
      <c r="L194" s="2"/>
      <c r="M194" s="2"/>
      <c r="N194" s="2"/>
      <c r="O194" s="2">
        <f t="shared" ref="O194:AT194" si="124">O199</f>
        <v>12893</v>
      </c>
      <c r="P194" s="2">
        <f t="shared" si="124"/>
        <v>12893</v>
      </c>
      <c r="Q194" s="2">
        <f t="shared" si="124"/>
        <v>0</v>
      </c>
      <c r="R194" s="2">
        <f t="shared" si="124"/>
        <v>0</v>
      </c>
      <c r="S194" s="2">
        <f t="shared" si="124"/>
        <v>0</v>
      </c>
      <c r="T194" s="2">
        <f t="shared" si="124"/>
        <v>0</v>
      </c>
      <c r="U194" s="2">
        <f t="shared" si="124"/>
        <v>0</v>
      </c>
      <c r="V194" s="2">
        <f t="shared" si="124"/>
        <v>0</v>
      </c>
      <c r="W194" s="2">
        <f t="shared" si="124"/>
        <v>0</v>
      </c>
      <c r="X194" s="2">
        <f t="shared" si="124"/>
        <v>0</v>
      </c>
      <c r="Y194" s="2">
        <f t="shared" si="124"/>
        <v>0</v>
      </c>
      <c r="Z194" s="2">
        <f t="shared" si="124"/>
        <v>0</v>
      </c>
      <c r="AA194" s="2">
        <f t="shared" si="124"/>
        <v>0</v>
      </c>
      <c r="AB194" s="2">
        <f t="shared" si="124"/>
        <v>12893</v>
      </c>
      <c r="AC194" s="2">
        <f t="shared" si="124"/>
        <v>12893</v>
      </c>
      <c r="AD194" s="2">
        <f t="shared" si="124"/>
        <v>0</v>
      </c>
      <c r="AE194" s="2">
        <f t="shared" si="124"/>
        <v>0</v>
      </c>
      <c r="AF194" s="2">
        <f t="shared" si="124"/>
        <v>0</v>
      </c>
      <c r="AG194" s="2">
        <f t="shared" si="124"/>
        <v>0</v>
      </c>
      <c r="AH194" s="2">
        <f t="shared" si="124"/>
        <v>0</v>
      </c>
      <c r="AI194" s="2">
        <f t="shared" si="124"/>
        <v>0</v>
      </c>
      <c r="AJ194" s="2">
        <f t="shared" si="124"/>
        <v>0</v>
      </c>
      <c r="AK194" s="2">
        <f t="shared" si="124"/>
        <v>0</v>
      </c>
      <c r="AL194" s="2">
        <f t="shared" si="124"/>
        <v>0</v>
      </c>
      <c r="AM194" s="2">
        <f t="shared" si="124"/>
        <v>0</v>
      </c>
      <c r="AN194" s="2">
        <f t="shared" si="124"/>
        <v>0</v>
      </c>
      <c r="AO194" s="2">
        <f t="shared" si="124"/>
        <v>0</v>
      </c>
      <c r="AP194" s="2">
        <f t="shared" si="124"/>
        <v>0</v>
      </c>
      <c r="AQ194" s="2">
        <f t="shared" si="124"/>
        <v>0</v>
      </c>
      <c r="AR194" s="2">
        <f t="shared" si="124"/>
        <v>12893</v>
      </c>
      <c r="AS194" s="2">
        <f t="shared" si="124"/>
        <v>12893</v>
      </c>
      <c r="AT194" s="2">
        <f t="shared" si="124"/>
        <v>0</v>
      </c>
      <c r="AU194" s="2">
        <f t="shared" ref="AU194:BZ194" si="125">AU199</f>
        <v>0</v>
      </c>
      <c r="AV194" s="2">
        <f t="shared" si="125"/>
        <v>12893</v>
      </c>
      <c r="AW194" s="2">
        <f t="shared" si="125"/>
        <v>12893</v>
      </c>
      <c r="AX194" s="2">
        <f t="shared" si="125"/>
        <v>0</v>
      </c>
      <c r="AY194" s="2">
        <f t="shared" si="125"/>
        <v>12893</v>
      </c>
      <c r="AZ194" s="2">
        <f t="shared" si="125"/>
        <v>0</v>
      </c>
      <c r="BA194" s="2">
        <f t="shared" si="125"/>
        <v>0</v>
      </c>
      <c r="BB194" s="2">
        <f t="shared" si="125"/>
        <v>0</v>
      </c>
      <c r="BC194" s="2">
        <f t="shared" si="125"/>
        <v>0</v>
      </c>
      <c r="BD194" s="2">
        <f t="shared" si="125"/>
        <v>0</v>
      </c>
      <c r="BE194" s="2">
        <f t="shared" si="125"/>
        <v>0</v>
      </c>
      <c r="BF194" s="2">
        <f t="shared" si="125"/>
        <v>0</v>
      </c>
      <c r="BG194" s="2">
        <f t="shared" si="125"/>
        <v>0</v>
      </c>
      <c r="BH194" s="2">
        <f t="shared" si="125"/>
        <v>0</v>
      </c>
      <c r="BI194" s="2">
        <f t="shared" si="125"/>
        <v>0</v>
      </c>
      <c r="BJ194" s="2">
        <f t="shared" si="125"/>
        <v>0</v>
      </c>
      <c r="BK194" s="2">
        <f t="shared" si="125"/>
        <v>0</v>
      </c>
      <c r="BL194" s="2">
        <f t="shared" si="125"/>
        <v>0</v>
      </c>
      <c r="BM194" s="2">
        <f t="shared" si="125"/>
        <v>0</v>
      </c>
      <c r="BN194" s="2">
        <f t="shared" si="125"/>
        <v>0</v>
      </c>
      <c r="BO194" s="2">
        <f t="shared" si="125"/>
        <v>0</v>
      </c>
      <c r="BP194" s="2">
        <f t="shared" si="125"/>
        <v>0</v>
      </c>
      <c r="BQ194" s="2">
        <f t="shared" si="125"/>
        <v>0</v>
      </c>
      <c r="BR194" s="2">
        <f t="shared" si="125"/>
        <v>0</v>
      </c>
      <c r="BS194" s="2">
        <f t="shared" si="125"/>
        <v>0</v>
      </c>
      <c r="BT194" s="2">
        <f t="shared" si="125"/>
        <v>0</v>
      </c>
      <c r="BU194" s="2">
        <f t="shared" si="125"/>
        <v>0</v>
      </c>
      <c r="BV194" s="2">
        <f t="shared" si="125"/>
        <v>0</v>
      </c>
      <c r="BW194" s="2">
        <f t="shared" si="125"/>
        <v>0</v>
      </c>
      <c r="BX194" s="2">
        <f t="shared" si="125"/>
        <v>0</v>
      </c>
      <c r="BY194" s="2">
        <f t="shared" si="125"/>
        <v>0</v>
      </c>
      <c r="BZ194" s="2">
        <f t="shared" si="125"/>
        <v>0</v>
      </c>
      <c r="CA194" s="2">
        <f t="shared" ref="CA194:DF194" si="126">CA199</f>
        <v>12893</v>
      </c>
      <c r="CB194" s="2">
        <f t="shared" si="126"/>
        <v>12893</v>
      </c>
      <c r="CC194" s="2">
        <f t="shared" si="126"/>
        <v>0</v>
      </c>
      <c r="CD194" s="2">
        <f t="shared" si="126"/>
        <v>0</v>
      </c>
      <c r="CE194" s="2">
        <f t="shared" si="126"/>
        <v>12893</v>
      </c>
      <c r="CF194" s="2">
        <f t="shared" si="126"/>
        <v>12893</v>
      </c>
      <c r="CG194" s="2">
        <f t="shared" si="126"/>
        <v>0</v>
      </c>
      <c r="CH194" s="2">
        <f t="shared" si="126"/>
        <v>12893</v>
      </c>
      <c r="CI194" s="2">
        <f t="shared" si="126"/>
        <v>0</v>
      </c>
      <c r="CJ194" s="2">
        <f t="shared" si="126"/>
        <v>0</v>
      </c>
      <c r="CK194" s="2">
        <f t="shared" si="126"/>
        <v>0</v>
      </c>
      <c r="CL194" s="2">
        <f t="shared" si="126"/>
        <v>0</v>
      </c>
      <c r="CM194" s="2">
        <f t="shared" si="126"/>
        <v>0</v>
      </c>
      <c r="CN194" s="2">
        <f t="shared" si="126"/>
        <v>0</v>
      </c>
      <c r="CO194" s="2">
        <f t="shared" si="126"/>
        <v>0</v>
      </c>
      <c r="CP194" s="2">
        <f t="shared" si="126"/>
        <v>0</v>
      </c>
      <c r="CQ194" s="2">
        <f t="shared" si="126"/>
        <v>0</v>
      </c>
      <c r="CR194" s="2">
        <f t="shared" si="126"/>
        <v>0</v>
      </c>
      <c r="CS194" s="2">
        <f t="shared" si="126"/>
        <v>0</v>
      </c>
      <c r="CT194" s="2">
        <f t="shared" si="126"/>
        <v>0</v>
      </c>
      <c r="CU194" s="2">
        <f t="shared" si="126"/>
        <v>0</v>
      </c>
      <c r="CV194" s="2">
        <f t="shared" si="126"/>
        <v>0</v>
      </c>
      <c r="CW194" s="2">
        <f t="shared" si="126"/>
        <v>0</v>
      </c>
      <c r="CX194" s="2">
        <f t="shared" si="126"/>
        <v>0</v>
      </c>
      <c r="CY194" s="2">
        <f t="shared" si="126"/>
        <v>0</v>
      </c>
      <c r="CZ194" s="2">
        <f t="shared" si="126"/>
        <v>0</v>
      </c>
      <c r="DA194" s="2">
        <f t="shared" si="126"/>
        <v>0</v>
      </c>
      <c r="DB194" s="2">
        <f t="shared" si="126"/>
        <v>0</v>
      </c>
      <c r="DC194" s="2">
        <f t="shared" si="126"/>
        <v>0</v>
      </c>
      <c r="DD194" s="2">
        <f t="shared" si="126"/>
        <v>0</v>
      </c>
      <c r="DE194" s="2">
        <f t="shared" si="126"/>
        <v>0</v>
      </c>
      <c r="DF194" s="2">
        <f t="shared" si="126"/>
        <v>0</v>
      </c>
      <c r="DG194" s="3">
        <f t="shared" ref="DG194:EL194" si="127">DG199</f>
        <v>0</v>
      </c>
      <c r="DH194" s="3">
        <f t="shared" si="127"/>
        <v>0</v>
      </c>
      <c r="DI194" s="3">
        <f t="shared" si="127"/>
        <v>0</v>
      </c>
      <c r="DJ194" s="3">
        <f t="shared" si="127"/>
        <v>0</v>
      </c>
      <c r="DK194" s="3">
        <f t="shared" si="127"/>
        <v>0</v>
      </c>
      <c r="DL194" s="3">
        <f t="shared" si="127"/>
        <v>0</v>
      </c>
      <c r="DM194" s="3">
        <f t="shared" si="127"/>
        <v>0</v>
      </c>
      <c r="DN194" s="3">
        <f t="shared" si="127"/>
        <v>0</v>
      </c>
      <c r="DO194" s="3">
        <f t="shared" si="127"/>
        <v>0</v>
      </c>
      <c r="DP194" s="3">
        <f t="shared" si="127"/>
        <v>0</v>
      </c>
      <c r="DQ194" s="3">
        <f t="shared" si="127"/>
        <v>0</v>
      </c>
      <c r="DR194" s="3">
        <f t="shared" si="127"/>
        <v>0</v>
      </c>
      <c r="DS194" s="3">
        <f t="shared" si="127"/>
        <v>0</v>
      </c>
      <c r="DT194" s="3">
        <f t="shared" si="127"/>
        <v>0</v>
      </c>
      <c r="DU194" s="3">
        <f t="shared" si="127"/>
        <v>0</v>
      </c>
      <c r="DV194" s="3">
        <f t="shared" si="127"/>
        <v>0</v>
      </c>
      <c r="DW194" s="3">
        <f t="shared" si="127"/>
        <v>0</v>
      </c>
      <c r="DX194" s="3">
        <f t="shared" si="127"/>
        <v>0</v>
      </c>
      <c r="DY194" s="3">
        <f t="shared" si="127"/>
        <v>0</v>
      </c>
      <c r="DZ194" s="3">
        <f t="shared" si="127"/>
        <v>0</v>
      </c>
      <c r="EA194" s="3">
        <f t="shared" si="127"/>
        <v>0</v>
      </c>
      <c r="EB194" s="3">
        <f t="shared" si="127"/>
        <v>0</v>
      </c>
      <c r="EC194" s="3">
        <f t="shared" si="127"/>
        <v>0</v>
      </c>
      <c r="ED194" s="3">
        <f t="shared" si="127"/>
        <v>0</v>
      </c>
      <c r="EE194" s="3">
        <f t="shared" si="127"/>
        <v>0</v>
      </c>
      <c r="EF194" s="3">
        <f t="shared" si="127"/>
        <v>0</v>
      </c>
      <c r="EG194" s="3">
        <f t="shared" si="127"/>
        <v>0</v>
      </c>
      <c r="EH194" s="3">
        <f t="shared" si="127"/>
        <v>0</v>
      </c>
      <c r="EI194" s="3">
        <f t="shared" si="127"/>
        <v>0</v>
      </c>
      <c r="EJ194" s="3">
        <f t="shared" si="127"/>
        <v>0</v>
      </c>
      <c r="EK194" s="3">
        <f t="shared" si="127"/>
        <v>0</v>
      </c>
      <c r="EL194" s="3">
        <f t="shared" si="127"/>
        <v>0</v>
      </c>
      <c r="EM194" s="3">
        <f t="shared" ref="EM194:FR194" si="128">EM199</f>
        <v>0</v>
      </c>
      <c r="EN194" s="3">
        <f t="shared" si="128"/>
        <v>0</v>
      </c>
      <c r="EO194" s="3">
        <f t="shared" si="128"/>
        <v>0</v>
      </c>
      <c r="EP194" s="3">
        <f t="shared" si="128"/>
        <v>0</v>
      </c>
      <c r="EQ194" s="3">
        <f t="shared" si="128"/>
        <v>0</v>
      </c>
      <c r="ER194" s="3">
        <f t="shared" si="128"/>
        <v>0</v>
      </c>
      <c r="ES194" s="3">
        <f t="shared" si="128"/>
        <v>0</v>
      </c>
      <c r="ET194" s="3">
        <f t="shared" si="128"/>
        <v>0</v>
      </c>
      <c r="EU194" s="3">
        <f t="shared" si="128"/>
        <v>0</v>
      </c>
      <c r="EV194" s="3">
        <f t="shared" si="128"/>
        <v>0</v>
      </c>
      <c r="EW194" s="3">
        <f t="shared" si="128"/>
        <v>0</v>
      </c>
      <c r="EX194" s="3">
        <f t="shared" si="128"/>
        <v>0</v>
      </c>
      <c r="EY194" s="3">
        <f t="shared" si="128"/>
        <v>0</v>
      </c>
      <c r="EZ194" s="3">
        <f t="shared" si="128"/>
        <v>0</v>
      </c>
      <c r="FA194" s="3">
        <f t="shared" si="128"/>
        <v>0</v>
      </c>
      <c r="FB194" s="3">
        <f t="shared" si="128"/>
        <v>0</v>
      </c>
      <c r="FC194" s="3">
        <f t="shared" si="128"/>
        <v>0</v>
      </c>
      <c r="FD194" s="3">
        <f t="shared" si="128"/>
        <v>0</v>
      </c>
      <c r="FE194" s="3">
        <f t="shared" si="128"/>
        <v>0</v>
      </c>
      <c r="FF194" s="3">
        <f t="shared" si="128"/>
        <v>0</v>
      </c>
      <c r="FG194" s="3">
        <f t="shared" si="128"/>
        <v>0</v>
      </c>
      <c r="FH194" s="3">
        <f t="shared" si="128"/>
        <v>0</v>
      </c>
      <c r="FI194" s="3">
        <f t="shared" si="128"/>
        <v>0</v>
      </c>
      <c r="FJ194" s="3">
        <f t="shared" si="128"/>
        <v>0</v>
      </c>
      <c r="FK194" s="3">
        <f t="shared" si="128"/>
        <v>0</v>
      </c>
      <c r="FL194" s="3">
        <f t="shared" si="128"/>
        <v>0</v>
      </c>
      <c r="FM194" s="3">
        <f t="shared" si="128"/>
        <v>0</v>
      </c>
      <c r="FN194" s="3">
        <f t="shared" si="128"/>
        <v>0</v>
      </c>
      <c r="FO194" s="3">
        <f t="shared" si="128"/>
        <v>0</v>
      </c>
      <c r="FP194" s="3">
        <f t="shared" si="128"/>
        <v>0</v>
      </c>
      <c r="FQ194" s="3">
        <f t="shared" si="128"/>
        <v>0</v>
      </c>
      <c r="FR194" s="3">
        <f t="shared" si="128"/>
        <v>0</v>
      </c>
      <c r="FS194" s="3">
        <f t="shared" ref="FS194:GX194" si="129">FS199</f>
        <v>0</v>
      </c>
      <c r="FT194" s="3">
        <f t="shared" si="129"/>
        <v>0</v>
      </c>
      <c r="FU194" s="3">
        <f t="shared" si="129"/>
        <v>0</v>
      </c>
      <c r="FV194" s="3">
        <f t="shared" si="129"/>
        <v>0</v>
      </c>
      <c r="FW194" s="3">
        <f t="shared" si="129"/>
        <v>0</v>
      </c>
      <c r="FX194" s="3">
        <f t="shared" si="129"/>
        <v>0</v>
      </c>
      <c r="FY194" s="3">
        <f t="shared" si="129"/>
        <v>0</v>
      </c>
      <c r="FZ194" s="3">
        <f t="shared" si="129"/>
        <v>0</v>
      </c>
      <c r="GA194" s="3">
        <f t="shared" si="129"/>
        <v>0</v>
      </c>
      <c r="GB194" s="3">
        <f t="shared" si="129"/>
        <v>0</v>
      </c>
      <c r="GC194" s="3">
        <f t="shared" si="129"/>
        <v>0</v>
      </c>
      <c r="GD194" s="3">
        <f t="shared" si="129"/>
        <v>0</v>
      </c>
      <c r="GE194" s="3">
        <f t="shared" si="129"/>
        <v>0</v>
      </c>
      <c r="GF194" s="3">
        <f t="shared" si="129"/>
        <v>0</v>
      </c>
      <c r="GG194" s="3">
        <f t="shared" si="129"/>
        <v>0</v>
      </c>
      <c r="GH194" s="3">
        <f t="shared" si="129"/>
        <v>0</v>
      </c>
      <c r="GI194" s="3">
        <f t="shared" si="129"/>
        <v>0</v>
      </c>
      <c r="GJ194" s="3">
        <f t="shared" si="129"/>
        <v>0</v>
      </c>
      <c r="GK194" s="3">
        <f t="shared" si="129"/>
        <v>0</v>
      </c>
      <c r="GL194" s="3">
        <f t="shared" si="129"/>
        <v>0</v>
      </c>
      <c r="GM194" s="3">
        <f t="shared" si="129"/>
        <v>0</v>
      </c>
      <c r="GN194" s="3">
        <f t="shared" si="129"/>
        <v>0</v>
      </c>
      <c r="GO194" s="3">
        <f t="shared" si="129"/>
        <v>0</v>
      </c>
      <c r="GP194" s="3">
        <f t="shared" si="129"/>
        <v>0</v>
      </c>
      <c r="GQ194" s="3">
        <f t="shared" si="129"/>
        <v>0</v>
      </c>
      <c r="GR194" s="3">
        <f t="shared" si="129"/>
        <v>0</v>
      </c>
      <c r="GS194" s="3">
        <f t="shared" si="129"/>
        <v>0</v>
      </c>
      <c r="GT194" s="3">
        <f t="shared" si="129"/>
        <v>0</v>
      </c>
      <c r="GU194" s="3">
        <f t="shared" si="129"/>
        <v>0</v>
      </c>
      <c r="GV194" s="3">
        <f t="shared" si="129"/>
        <v>0</v>
      </c>
      <c r="GW194" s="3">
        <f t="shared" si="129"/>
        <v>0</v>
      </c>
      <c r="GX194" s="3">
        <f t="shared" si="129"/>
        <v>0</v>
      </c>
    </row>
    <row r="196" spans="1:245" x14ac:dyDescent="0.2">
      <c r="A196">
        <v>17</v>
      </c>
      <c r="B196">
        <v>1</v>
      </c>
      <c r="E196" t="s">
        <v>273</v>
      </c>
      <c r="F196" t="s">
        <v>6</v>
      </c>
      <c r="G196" t="s">
        <v>274</v>
      </c>
      <c r="H196" t="s">
        <v>275</v>
      </c>
      <c r="I196">
        <v>3</v>
      </c>
      <c r="J196">
        <v>0</v>
      </c>
      <c r="O196">
        <f>ROUND(CP196,2)</f>
        <v>9495</v>
      </c>
      <c r="P196">
        <f>ROUND(CQ196*I196,2)</f>
        <v>9495</v>
      </c>
      <c r="Q196">
        <f>ROUND(CR196*I196,2)</f>
        <v>0</v>
      </c>
      <c r="R196">
        <f>ROUND(CS196*I196,2)</f>
        <v>0</v>
      </c>
      <c r="S196">
        <f>ROUND(CT196*I196,2)</f>
        <v>0</v>
      </c>
      <c r="T196">
        <f>ROUND(CU196*I196,2)</f>
        <v>0</v>
      </c>
      <c r="U196">
        <f>CV196*I196</f>
        <v>0</v>
      </c>
      <c r="V196">
        <f>CW196*I196</f>
        <v>0</v>
      </c>
      <c r="W196">
        <f>ROUND(CX196*I196,2)</f>
        <v>0</v>
      </c>
      <c r="X196">
        <f>ROUND(CY196,2)</f>
        <v>0</v>
      </c>
      <c r="Y196">
        <f>ROUND(CZ196,2)</f>
        <v>0</v>
      </c>
      <c r="AA196">
        <v>48276314</v>
      </c>
      <c r="AB196">
        <f>ROUND((AC196+AD196+AF196),2)</f>
        <v>3165</v>
      </c>
      <c r="AC196">
        <f>ROUND((ES196),2)</f>
        <v>3165</v>
      </c>
      <c r="AD196">
        <f>ROUND((((ET196)-(EU196))+AE196),2)</f>
        <v>0</v>
      </c>
      <c r="AE196">
        <f>ROUND((EU196),2)</f>
        <v>0</v>
      </c>
      <c r="AF196">
        <f>ROUND((EV196),2)</f>
        <v>0</v>
      </c>
      <c r="AG196">
        <f>ROUND((AP196),2)</f>
        <v>0</v>
      </c>
      <c r="AH196">
        <f>(EW196)</f>
        <v>0</v>
      </c>
      <c r="AI196">
        <f>(EX196)</f>
        <v>0</v>
      </c>
      <c r="AJ196">
        <f>(AS196)</f>
        <v>0</v>
      </c>
      <c r="AK196">
        <v>3165</v>
      </c>
      <c r="AL196">
        <v>3165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1</v>
      </c>
      <c r="AZ196">
        <v>1</v>
      </c>
      <c r="BA196">
        <v>1</v>
      </c>
      <c r="BB196">
        <v>1</v>
      </c>
      <c r="BC196">
        <v>1</v>
      </c>
      <c r="BD196" t="s">
        <v>6</v>
      </c>
      <c r="BE196" t="s">
        <v>6</v>
      </c>
      <c r="BF196" t="s">
        <v>6</v>
      </c>
      <c r="BG196" t="s">
        <v>6</v>
      </c>
      <c r="BH196">
        <v>3</v>
      </c>
      <c r="BI196">
        <v>1</v>
      </c>
      <c r="BJ196" t="s">
        <v>6</v>
      </c>
      <c r="BM196">
        <v>1100</v>
      </c>
      <c r="BN196">
        <v>0</v>
      </c>
      <c r="BO196" t="s">
        <v>6</v>
      </c>
      <c r="BP196">
        <v>0</v>
      </c>
      <c r="BQ196">
        <v>8</v>
      </c>
      <c r="BR196">
        <v>0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6</v>
      </c>
      <c r="BZ196">
        <v>0</v>
      </c>
      <c r="CA196">
        <v>0</v>
      </c>
      <c r="CE196">
        <v>0</v>
      </c>
      <c r="CF196">
        <v>0</v>
      </c>
      <c r="CG196">
        <v>0</v>
      </c>
      <c r="CM196">
        <v>0</v>
      </c>
      <c r="CN196" t="s">
        <v>6</v>
      </c>
      <c r="CO196">
        <v>0</v>
      </c>
      <c r="CP196">
        <f>(P196+Q196+S196)</f>
        <v>9495</v>
      </c>
      <c r="CQ196">
        <f>AC196*BC196</f>
        <v>3165</v>
      </c>
      <c r="CR196">
        <f>AD196*BB196</f>
        <v>0</v>
      </c>
      <c r="CS196">
        <f>AE196*BS196</f>
        <v>0</v>
      </c>
      <c r="CT196">
        <f>AF196*BA196</f>
        <v>0</v>
      </c>
      <c r="CU196">
        <f t="shared" ref="CU196:CX197" si="130">AG196</f>
        <v>0</v>
      </c>
      <c r="CV196">
        <f t="shared" si="130"/>
        <v>0</v>
      </c>
      <c r="CW196">
        <f t="shared" si="130"/>
        <v>0</v>
      </c>
      <c r="CX196">
        <f t="shared" si="130"/>
        <v>0</v>
      </c>
      <c r="CY196">
        <f>(((S196+R196)*AT196)/100)</f>
        <v>0</v>
      </c>
      <c r="CZ196">
        <f>(((S196+R196)*AU196)/100)</f>
        <v>0</v>
      </c>
      <c r="DC196" t="s">
        <v>6</v>
      </c>
      <c r="DD196" t="s">
        <v>6</v>
      </c>
      <c r="DE196" t="s">
        <v>6</v>
      </c>
      <c r="DF196" t="s">
        <v>6</v>
      </c>
      <c r="DG196" t="s">
        <v>6</v>
      </c>
      <c r="DH196" t="s">
        <v>6</v>
      </c>
      <c r="DI196" t="s">
        <v>6</v>
      </c>
      <c r="DJ196" t="s">
        <v>6</v>
      </c>
      <c r="DK196" t="s">
        <v>6</v>
      </c>
      <c r="DL196" t="s">
        <v>6</v>
      </c>
      <c r="DM196" t="s">
        <v>6</v>
      </c>
      <c r="DN196">
        <v>0</v>
      </c>
      <c r="DO196">
        <v>0</v>
      </c>
      <c r="DP196">
        <v>1</v>
      </c>
      <c r="DQ196">
        <v>1</v>
      </c>
      <c r="DU196">
        <v>1013</v>
      </c>
      <c r="DV196" t="s">
        <v>275</v>
      </c>
      <c r="DW196" t="s">
        <v>275</v>
      </c>
      <c r="DX196">
        <v>1</v>
      </c>
      <c r="EE196">
        <v>39495697</v>
      </c>
      <c r="EF196">
        <v>8</v>
      </c>
      <c r="EG196" t="s">
        <v>107</v>
      </c>
      <c r="EH196">
        <v>0</v>
      </c>
      <c r="EI196" t="s">
        <v>6</v>
      </c>
      <c r="EJ196">
        <v>1</v>
      </c>
      <c r="EK196">
        <v>1100</v>
      </c>
      <c r="EL196" t="s">
        <v>269</v>
      </c>
      <c r="EM196" t="s">
        <v>270</v>
      </c>
      <c r="EO196" t="s">
        <v>6</v>
      </c>
      <c r="EQ196">
        <v>0</v>
      </c>
      <c r="ER196">
        <v>3165</v>
      </c>
      <c r="ES196">
        <v>3165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FQ196">
        <v>0</v>
      </c>
      <c r="FR196">
        <f>ROUND(IF(AND(BH196=3,BI196=3),P196,0),2)</f>
        <v>0</v>
      </c>
      <c r="FS196">
        <v>0</v>
      </c>
      <c r="FX196">
        <v>0</v>
      </c>
      <c r="FY196">
        <v>0</v>
      </c>
      <c r="GA196" t="s">
        <v>271</v>
      </c>
      <c r="GD196">
        <v>1</v>
      </c>
      <c r="GF196">
        <v>-644401372</v>
      </c>
      <c r="GG196">
        <v>2</v>
      </c>
      <c r="GH196">
        <v>0</v>
      </c>
      <c r="GI196">
        <v>-2</v>
      </c>
      <c r="GJ196">
        <v>0</v>
      </c>
      <c r="GK196">
        <v>0</v>
      </c>
      <c r="GL196">
        <f>ROUND(IF(AND(BH196=3,BI196=3,FS196&lt;&gt;0),P196,0),2)</f>
        <v>0</v>
      </c>
      <c r="GM196">
        <f>ROUND(O196+X196+Y196,2)+GX196</f>
        <v>9495</v>
      </c>
      <c r="GN196">
        <f>IF(OR(BI196=0,BI196=1),ROUND(O196+X196+Y196,2),0)</f>
        <v>9495</v>
      </c>
      <c r="GO196">
        <f>IF(BI196=2,ROUND(O196+X196+Y196,2),0)</f>
        <v>0</v>
      </c>
      <c r="GP196">
        <f>IF(BI196=4,ROUND(O196+X196+Y196,2)+GX196,0)</f>
        <v>0</v>
      </c>
      <c r="GR196">
        <v>0</v>
      </c>
      <c r="GS196">
        <v>4</v>
      </c>
      <c r="GT196">
        <v>0</v>
      </c>
      <c r="GU196" t="s">
        <v>6</v>
      </c>
      <c r="GV196">
        <f>ROUND((GT196),2)</f>
        <v>0</v>
      </c>
      <c r="GW196">
        <v>1</v>
      </c>
      <c r="GX196">
        <f>ROUND(HC196*I196,2)</f>
        <v>0</v>
      </c>
      <c r="HA196">
        <v>0</v>
      </c>
      <c r="HB196">
        <v>0</v>
      </c>
      <c r="HC196">
        <f>GV196*GW196</f>
        <v>0</v>
      </c>
      <c r="IK196">
        <v>0</v>
      </c>
    </row>
    <row r="197" spans="1:245" x14ac:dyDescent="0.2">
      <c r="A197">
        <v>17</v>
      </c>
      <c r="B197">
        <v>1</v>
      </c>
      <c r="E197" t="s">
        <v>276</v>
      </c>
      <c r="F197" t="s">
        <v>6</v>
      </c>
      <c r="G197" t="s">
        <v>277</v>
      </c>
      <c r="H197" t="s">
        <v>275</v>
      </c>
      <c r="I197">
        <v>2</v>
      </c>
      <c r="J197">
        <v>0</v>
      </c>
      <c r="O197">
        <f>ROUND(CP197,2)</f>
        <v>3398</v>
      </c>
      <c r="P197">
        <f>ROUND(CQ197*I197,2)</f>
        <v>3398</v>
      </c>
      <c r="Q197">
        <f>ROUND(CR197*I197,2)</f>
        <v>0</v>
      </c>
      <c r="R197">
        <f>ROUND(CS197*I197,2)</f>
        <v>0</v>
      </c>
      <c r="S197">
        <f>ROUND(CT197*I197,2)</f>
        <v>0</v>
      </c>
      <c r="T197">
        <f>ROUND(CU197*I197,2)</f>
        <v>0</v>
      </c>
      <c r="U197">
        <f>CV197*I197</f>
        <v>0</v>
      </c>
      <c r="V197">
        <f>CW197*I197</f>
        <v>0</v>
      </c>
      <c r="W197">
        <f>ROUND(CX197*I197,2)</f>
        <v>0</v>
      </c>
      <c r="X197">
        <f>ROUND(CY197,2)</f>
        <v>0</v>
      </c>
      <c r="Y197">
        <f>ROUND(CZ197,2)</f>
        <v>0</v>
      </c>
      <c r="AA197">
        <v>48276314</v>
      </c>
      <c r="AB197">
        <f>ROUND((AC197+AD197+AF197),2)</f>
        <v>1699</v>
      </c>
      <c r="AC197">
        <f>ROUND((ES197),2)</f>
        <v>1699</v>
      </c>
      <c r="AD197">
        <f>ROUND((((ET197)-(EU197))+AE197),2)</f>
        <v>0</v>
      </c>
      <c r="AE197">
        <f>ROUND((EU197),2)</f>
        <v>0</v>
      </c>
      <c r="AF197">
        <f>ROUND((EV197),2)</f>
        <v>0</v>
      </c>
      <c r="AG197">
        <f>ROUND((AP197),2)</f>
        <v>0</v>
      </c>
      <c r="AH197">
        <f>(EW197)</f>
        <v>0</v>
      </c>
      <c r="AI197">
        <f>(EX197)</f>
        <v>0</v>
      </c>
      <c r="AJ197">
        <f>(AS197)</f>
        <v>0</v>
      </c>
      <c r="AK197">
        <v>1699</v>
      </c>
      <c r="AL197">
        <v>1699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v>1</v>
      </c>
      <c r="BD197" t="s">
        <v>6</v>
      </c>
      <c r="BE197" t="s">
        <v>6</v>
      </c>
      <c r="BF197" t="s">
        <v>6</v>
      </c>
      <c r="BG197" t="s">
        <v>6</v>
      </c>
      <c r="BH197">
        <v>3</v>
      </c>
      <c r="BI197">
        <v>1</v>
      </c>
      <c r="BJ197" t="s">
        <v>6</v>
      </c>
      <c r="BM197">
        <v>1100</v>
      </c>
      <c r="BN197">
        <v>0</v>
      </c>
      <c r="BO197" t="s">
        <v>6</v>
      </c>
      <c r="BP197">
        <v>0</v>
      </c>
      <c r="BQ197">
        <v>8</v>
      </c>
      <c r="BR197">
        <v>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0</v>
      </c>
      <c r="CA197">
        <v>0</v>
      </c>
      <c r="CE197">
        <v>0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>(P197+Q197+S197)</f>
        <v>3398</v>
      </c>
      <c r="CQ197">
        <f>AC197*BC197</f>
        <v>1699</v>
      </c>
      <c r="CR197">
        <f>AD197*BB197</f>
        <v>0</v>
      </c>
      <c r="CS197">
        <f>AE197*BS197</f>
        <v>0</v>
      </c>
      <c r="CT197">
        <f>AF197*BA197</f>
        <v>0</v>
      </c>
      <c r="CU197">
        <f t="shared" si="130"/>
        <v>0</v>
      </c>
      <c r="CV197">
        <f t="shared" si="130"/>
        <v>0</v>
      </c>
      <c r="CW197">
        <f t="shared" si="130"/>
        <v>0</v>
      </c>
      <c r="CX197">
        <f t="shared" si="130"/>
        <v>0</v>
      </c>
      <c r="CY197">
        <f>(((S197+R197)*AT197)/100)</f>
        <v>0</v>
      </c>
      <c r="CZ197">
        <f>(((S197+R197)*AU197)/100)</f>
        <v>0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275</v>
      </c>
      <c r="DW197" t="s">
        <v>275</v>
      </c>
      <c r="DX197">
        <v>1</v>
      </c>
      <c r="EE197">
        <v>39495697</v>
      </c>
      <c r="EF197">
        <v>8</v>
      </c>
      <c r="EG197" t="s">
        <v>107</v>
      </c>
      <c r="EH197">
        <v>0</v>
      </c>
      <c r="EI197" t="s">
        <v>6</v>
      </c>
      <c r="EJ197">
        <v>1</v>
      </c>
      <c r="EK197">
        <v>1100</v>
      </c>
      <c r="EL197" t="s">
        <v>269</v>
      </c>
      <c r="EM197" t="s">
        <v>270</v>
      </c>
      <c r="EO197" t="s">
        <v>53</v>
      </c>
      <c r="EQ197">
        <v>0</v>
      </c>
      <c r="ER197">
        <v>1699</v>
      </c>
      <c r="ES197">
        <v>1699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FQ197">
        <v>0</v>
      </c>
      <c r="FR197">
        <f>ROUND(IF(AND(BH197=3,BI197=3),P197,0),2)</f>
        <v>0</v>
      </c>
      <c r="FS197">
        <v>0</v>
      </c>
      <c r="FX197">
        <v>0</v>
      </c>
      <c r="FY197">
        <v>0</v>
      </c>
      <c r="GA197" t="s">
        <v>271</v>
      </c>
      <c r="GD197">
        <v>1</v>
      </c>
      <c r="GF197">
        <v>-1157495179</v>
      </c>
      <c r="GG197">
        <v>2</v>
      </c>
      <c r="GH197">
        <v>0</v>
      </c>
      <c r="GI197">
        <v>-2</v>
      </c>
      <c r="GJ197">
        <v>0</v>
      </c>
      <c r="GK197">
        <v>0</v>
      </c>
      <c r="GL197">
        <f>ROUND(IF(AND(BH197=3,BI197=3,FS197&lt;&gt;0),P197,0),2)</f>
        <v>0</v>
      </c>
      <c r="GM197">
        <f>ROUND(O197+X197+Y197,2)+GX197</f>
        <v>3398</v>
      </c>
      <c r="GN197">
        <f>IF(OR(BI197=0,BI197=1),ROUND(O197+X197+Y197,2),0)</f>
        <v>3398</v>
      </c>
      <c r="GO197">
        <f>IF(BI197=2,ROUND(O197+X197+Y197,2),0)</f>
        <v>0</v>
      </c>
      <c r="GP197">
        <f>IF(BI197=4,ROUND(O197+X197+Y197,2)+GX197,0)</f>
        <v>0</v>
      </c>
      <c r="GR197">
        <v>0</v>
      </c>
      <c r="GS197">
        <v>4</v>
      </c>
      <c r="GT197">
        <v>0</v>
      </c>
      <c r="GU197" t="s">
        <v>6</v>
      </c>
      <c r="GV197">
        <f>ROUND((GT197),2)</f>
        <v>0</v>
      </c>
      <c r="GW197">
        <v>1</v>
      </c>
      <c r="GX197">
        <f>ROUND(HC197*I197,2)</f>
        <v>0</v>
      </c>
      <c r="HA197">
        <v>0</v>
      </c>
      <c r="HB197">
        <v>0</v>
      </c>
      <c r="HC197">
        <f>GV197*GW197</f>
        <v>0</v>
      </c>
      <c r="IK197">
        <v>0</v>
      </c>
    </row>
    <row r="199" spans="1:245" x14ac:dyDescent="0.2">
      <c r="A199" s="2">
        <v>51</v>
      </c>
      <c r="B199" s="2">
        <f>B192</f>
        <v>1</v>
      </c>
      <c r="C199" s="2">
        <f>A192</f>
        <v>4</v>
      </c>
      <c r="D199" s="2">
        <f>ROW(A192)</f>
        <v>192</v>
      </c>
      <c r="E199" s="2"/>
      <c r="F199" s="2" t="str">
        <f>IF(F192&lt;&gt;"",F192,"")</f>
        <v>Новый раздел</v>
      </c>
      <c r="G199" s="2" t="str">
        <f>IF(G192&lt;&gt;"",G192,"")</f>
        <v>Материалы не учтенные ценником</v>
      </c>
      <c r="H199" s="2">
        <v>0</v>
      </c>
      <c r="I199" s="2"/>
      <c r="J199" s="2"/>
      <c r="K199" s="2"/>
      <c r="L199" s="2"/>
      <c r="M199" s="2"/>
      <c r="N199" s="2"/>
      <c r="O199" s="2">
        <f t="shared" ref="O199:T199" si="131">ROUND(AB199,2)</f>
        <v>12893</v>
      </c>
      <c r="P199" s="2">
        <f t="shared" si="131"/>
        <v>12893</v>
      </c>
      <c r="Q199" s="2">
        <f t="shared" si="131"/>
        <v>0</v>
      </c>
      <c r="R199" s="2">
        <f t="shared" si="131"/>
        <v>0</v>
      </c>
      <c r="S199" s="2">
        <f t="shared" si="131"/>
        <v>0</v>
      </c>
      <c r="T199" s="2">
        <f t="shared" si="131"/>
        <v>0</v>
      </c>
      <c r="U199" s="2">
        <f>AH199</f>
        <v>0</v>
      </c>
      <c r="V199" s="2">
        <f>AI199</f>
        <v>0</v>
      </c>
      <c r="W199" s="2">
        <f>ROUND(AJ199,2)</f>
        <v>0</v>
      </c>
      <c r="X199" s="2">
        <f>ROUND(AK199,2)</f>
        <v>0</v>
      </c>
      <c r="Y199" s="2">
        <f>ROUND(AL199,2)</f>
        <v>0</v>
      </c>
      <c r="Z199" s="2"/>
      <c r="AA199" s="2"/>
      <c r="AB199" s="2">
        <f>ROUND(SUMIF(AA196:AA197,"=48276314",O196:O197),2)</f>
        <v>12893</v>
      </c>
      <c r="AC199" s="2">
        <f>ROUND(SUMIF(AA196:AA197,"=48276314",P196:P197),2)</f>
        <v>12893</v>
      </c>
      <c r="AD199" s="2">
        <f>ROUND(SUMIF(AA196:AA197,"=48276314",Q196:Q197),2)</f>
        <v>0</v>
      </c>
      <c r="AE199" s="2">
        <f>ROUND(SUMIF(AA196:AA197,"=48276314",R196:R197),2)</f>
        <v>0</v>
      </c>
      <c r="AF199" s="2">
        <f>ROUND(SUMIF(AA196:AA197,"=48276314",S196:S197),2)</f>
        <v>0</v>
      </c>
      <c r="AG199" s="2">
        <f>ROUND(SUMIF(AA196:AA197,"=48276314",T196:T197),2)</f>
        <v>0</v>
      </c>
      <c r="AH199" s="2">
        <f>SUMIF(AA196:AA197,"=48276314",U196:U197)</f>
        <v>0</v>
      </c>
      <c r="AI199" s="2">
        <f>SUMIF(AA196:AA197,"=48276314",V196:V197)</f>
        <v>0</v>
      </c>
      <c r="AJ199" s="2">
        <f>ROUND(SUMIF(AA196:AA197,"=48276314",W196:W197),2)</f>
        <v>0</v>
      </c>
      <c r="AK199" s="2">
        <f>ROUND(SUMIF(AA196:AA197,"=48276314",X196:X197),2)</f>
        <v>0</v>
      </c>
      <c r="AL199" s="2">
        <f>ROUND(SUMIF(AA196:AA197,"=48276314",Y196:Y197),2)</f>
        <v>0</v>
      </c>
      <c r="AM199" s="2"/>
      <c r="AN199" s="2"/>
      <c r="AO199" s="2">
        <f t="shared" ref="AO199:BC199" si="132">ROUND(BX199,2)</f>
        <v>0</v>
      </c>
      <c r="AP199" s="2">
        <f t="shared" si="132"/>
        <v>0</v>
      </c>
      <c r="AQ199" s="2">
        <f t="shared" si="132"/>
        <v>0</v>
      </c>
      <c r="AR199" s="2">
        <f t="shared" si="132"/>
        <v>12893</v>
      </c>
      <c r="AS199" s="2">
        <f t="shared" si="132"/>
        <v>12893</v>
      </c>
      <c r="AT199" s="2">
        <f t="shared" si="132"/>
        <v>0</v>
      </c>
      <c r="AU199" s="2">
        <f t="shared" si="132"/>
        <v>0</v>
      </c>
      <c r="AV199" s="2">
        <f t="shared" si="132"/>
        <v>12893</v>
      </c>
      <c r="AW199" s="2">
        <f t="shared" si="132"/>
        <v>12893</v>
      </c>
      <c r="AX199" s="2">
        <f t="shared" si="132"/>
        <v>0</v>
      </c>
      <c r="AY199" s="2">
        <f t="shared" si="132"/>
        <v>12893</v>
      </c>
      <c r="AZ199" s="2">
        <f t="shared" si="132"/>
        <v>0</v>
      </c>
      <c r="BA199" s="2">
        <f t="shared" si="132"/>
        <v>0</v>
      </c>
      <c r="BB199" s="2">
        <f t="shared" si="132"/>
        <v>0</v>
      </c>
      <c r="BC199" s="2">
        <f t="shared" si="132"/>
        <v>0</v>
      </c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>
        <f>ROUND(SUMIF(AA196:AA197,"=48276314",FQ196:FQ197),2)</f>
        <v>0</v>
      </c>
      <c r="BY199" s="2">
        <f>ROUND(SUMIF(AA196:AA197,"=48276314",FR196:FR197),2)</f>
        <v>0</v>
      </c>
      <c r="BZ199" s="2">
        <f>ROUND(SUMIF(AA196:AA197,"=48276314",GL196:GL197),2)</f>
        <v>0</v>
      </c>
      <c r="CA199" s="2">
        <f>ROUND(SUMIF(AA196:AA197,"=48276314",GM196:GM197),2)</f>
        <v>12893</v>
      </c>
      <c r="CB199" s="2">
        <f>ROUND(SUMIF(AA196:AA197,"=48276314",GN196:GN197),2)</f>
        <v>12893</v>
      </c>
      <c r="CC199" s="2">
        <f>ROUND(SUMIF(AA196:AA197,"=48276314",GO196:GO197),2)</f>
        <v>0</v>
      </c>
      <c r="CD199" s="2">
        <f>ROUND(SUMIF(AA196:AA197,"=48276314",GP196:GP197),2)</f>
        <v>0</v>
      </c>
      <c r="CE199" s="2">
        <f>AC199-BX199</f>
        <v>12893</v>
      </c>
      <c r="CF199" s="2">
        <f>AC199-BY199</f>
        <v>12893</v>
      </c>
      <c r="CG199" s="2">
        <f>BX199-BZ199</f>
        <v>0</v>
      </c>
      <c r="CH199" s="2">
        <f>AC199-BX199-BY199+BZ199</f>
        <v>12893</v>
      </c>
      <c r="CI199" s="2">
        <f>BY199-BZ199</f>
        <v>0</v>
      </c>
      <c r="CJ199" s="2">
        <f>ROUND(SUMIF(AA196:AA197,"=48276314",GX196:GX197),2)</f>
        <v>0</v>
      </c>
      <c r="CK199" s="2">
        <f>ROUND(SUMIF(AA196:AA197,"=48276314",GY196:GY197),2)</f>
        <v>0</v>
      </c>
      <c r="CL199" s="2">
        <f>ROUND(SUMIF(AA196:AA197,"=48276314",GZ196:GZ197),2)</f>
        <v>0</v>
      </c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>
        <v>0</v>
      </c>
    </row>
    <row r="201" spans="1:245" x14ac:dyDescent="0.2">
      <c r="A201" s="4">
        <v>50</v>
      </c>
      <c r="B201" s="4">
        <v>0</v>
      </c>
      <c r="C201" s="4">
        <v>0</v>
      </c>
      <c r="D201" s="4">
        <v>1</v>
      </c>
      <c r="E201" s="4">
        <v>201</v>
      </c>
      <c r="F201" s="4">
        <f>ROUND(Source!O199,O201)</f>
        <v>12893</v>
      </c>
      <c r="G201" s="4" t="s">
        <v>130</v>
      </c>
      <c r="H201" s="4" t="s">
        <v>131</v>
      </c>
      <c r="I201" s="4"/>
      <c r="J201" s="4"/>
      <c r="K201" s="4">
        <v>201</v>
      </c>
      <c r="L201" s="4">
        <v>1</v>
      </c>
      <c r="M201" s="4">
        <v>3</v>
      </c>
      <c r="N201" s="4" t="s">
        <v>6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45" x14ac:dyDescent="0.2">
      <c r="A202" s="4">
        <v>50</v>
      </c>
      <c r="B202" s="4">
        <v>0</v>
      </c>
      <c r="C202" s="4">
        <v>0</v>
      </c>
      <c r="D202" s="4">
        <v>1</v>
      </c>
      <c r="E202" s="4">
        <v>202</v>
      </c>
      <c r="F202" s="4">
        <f>ROUND(Source!P199,O202)</f>
        <v>12893</v>
      </c>
      <c r="G202" s="4" t="s">
        <v>132</v>
      </c>
      <c r="H202" s="4" t="s">
        <v>133</v>
      </c>
      <c r="I202" s="4"/>
      <c r="J202" s="4"/>
      <c r="K202" s="4">
        <v>202</v>
      </c>
      <c r="L202" s="4">
        <v>2</v>
      </c>
      <c r="M202" s="4">
        <v>3</v>
      </c>
      <c r="N202" s="4" t="s">
        <v>6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45" x14ac:dyDescent="0.2">
      <c r="A203" s="4">
        <v>50</v>
      </c>
      <c r="B203" s="4">
        <v>0</v>
      </c>
      <c r="C203" s="4">
        <v>0</v>
      </c>
      <c r="D203" s="4">
        <v>1</v>
      </c>
      <c r="E203" s="4">
        <v>222</v>
      </c>
      <c r="F203" s="4">
        <f>ROUND(Source!AO199,O203)</f>
        <v>0</v>
      </c>
      <c r="G203" s="4" t="s">
        <v>134</v>
      </c>
      <c r="H203" s="4" t="s">
        <v>135</v>
      </c>
      <c r="I203" s="4"/>
      <c r="J203" s="4"/>
      <c r="K203" s="4">
        <v>222</v>
      </c>
      <c r="L203" s="4">
        <v>3</v>
      </c>
      <c r="M203" s="4">
        <v>3</v>
      </c>
      <c r="N203" s="4" t="s">
        <v>6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45" x14ac:dyDescent="0.2">
      <c r="A204" s="4">
        <v>50</v>
      </c>
      <c r="B204" s="4">
        <v>0</v>
      </c>
      <c r="C204" s="4">
        <v>0</v>
      </c>
      <c r="D204" s="4">
        <v>1</v>
      </c>
      <c r="E204" s="4">
        <v>225</v>
      </c>
      <c r="F204" s="4">
        <f>ROUND(Source!AV199,O204)</f>
        <v>12893</v>
      </c>
      <c r="G204" s="4" t="s">
        <v>136</v>
      </c>
      <c r="H204" s="4" t="s">
        <v>137</v>
      </c>
      <c r="I204" s="4"/>
      <c r="J204" s="4"/>
      <c r="K204" s="4">
        <v>225</v>
      </c>
      <c r="L204" s="4">
        <v>4</v>
      </c>
      <c r="M204" s="4">
        <v>3</v>
      </c>
      <c r="N204" s="4" t="s">
        <v>6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45" x14ac:dyDescent="0.2">
      <c r="A205" s="4">
        <v>50</v>
      </c>
      <c r="B205" s="4">
        <v>0</v>
      </c>
      <c r="C205" s="4">
        <v>0</v>
      </c>
      <c r="D205" s="4">
        <v>1</v>
      </c>
      <c r="E205" s="4">
        <v>226</v>
      </c>
      <c r="F205" s="4">
        <f>ROUND(Source!AW199,O205)</f>
        <v>12893</v>
      </c>
      <c r="G205" s="4" t="s">
        <v>138</v>
      </c>
      <c r="H205" s="4" t="s">
        <v>139</v>
      </c>
      <c r="I205" s="4"/>
      <c r="J205" s="4"/>
      <c r="K205" s="4">
        <v>226</v>
      </c>
      <c r="L205" s="4">
        <v>5</v>
      </c>
      <c r="M205" s="4">
        <v>3</v>
      </c>
      <c r="N205" s="4" t="s">
        <v>6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45" x14ac:dyDescent="0.2">
      <c r="A206" s="4">
        <v>50</v>
      </c>
      <c r="B206" s="4">
        <v>0</v>
      </c>
      <c r="C206" s="4">
        <v>0</v>
      </c>
      <c r="D206" s="4">
        <v>1</v>
      </c>
      <c r="E206" s="4">
        <v>227</v>
      </c>
      <c r="F206" s="4">
        <f>ROUND(Source!AX199,O206)</f>
        <v>0</v>
      </c>
      <c r="G206" s="4" t="s">
        <v>140</v>
      </c>
      <c r="H206" s="4" t="s">
        <v>141</v>
      </c>
      <c r="I206" s="4"/>
      <c r="J206" s="4"/>
      <c r="K206" s="4">
        <v>227</v>
      </c>
      <c r="L206" s="4">
        <v>6</v>
      </c>
      <c r="M206" s="4">
        <v>3</v>
      </c>
      <c r="N206" s="4" t="s">
        <v>6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45" x14ac:dyDescent="0.2">
      <c r="A207" s="4">
        <v>50</v>
      </c>
      <c r="B207" s="4">
        <v>0</v>
      </c>
      <c r="C207" s="4">
        <v>0</v>
      </c>
      <c r="D207" s="4">
        <v>1</v>
      </c>
      <c r="E207" s="4">
        <v>228</v>
      </c>
      <c r="F207" s="4">
        <f>ROUND(Source!AY199,O207)</f>
        <v>12893</v>
      </c>
      <c r="G207" s="4" t="s">
        <v>142</v>
      </c>
      <c r="H207" s="4" t="s">
        <v>143</v>
      </c>
      <c r="I207" s="4"/>
      <c r="J207" s="4"/>
      <c r="K207" s="4">
        <v>228</v>
      </c>
      <c r="L207" s="4">
        <v>7</v>
      </c>
      <c r="M207" s="4">
        <v>3</v>
      </c>
      <c r="N207" s="4" t="s">
        <v>6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45" x14ac:dyDescent="0.2">
      <c r="A208" s="4">
        <v>50</v>
      </c>
      <c r="B208" s="4">
        <v>0</v>
      </c>
      <c r="C208" s="4">
        <v>0</v>
      </c>
      <c r="D208" s="4">
        <v>1</v>
      </c>
      <c r="E208" s="4">
        <v>216</v>
      </c>
      <c r="F208" s="4">
        <f>ROUND(Source!AP199,O208)</f>
        <v>0</v>
      </c>
      <c r="G208" s="4" t="s">
        <v>144</v>
      </c>
      <c r="H208" s="4" t="s">
        <v>145</v>
      </c>
      <c r="I208" s="4"/>
      <c r="J208" s="4"/>
      <c r="K208" s="4">
        <v>216</v>
      </c>
      <c r="L208" s="4">
        <v>8</v>
      </c>
      <c r="M208" s="4">
        <v>3</v>
      </c>
      <c r="N208" s="4" t="s">
        <v>6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223</v>
      </c>
      <c r="F209" s="4">
        <f>ROUND(Source!AQ199,O209)</f>
        <v>0</v>
      </c>
      <c r="G209" s="4" t="s">
        <v>146</v>
      </c>
      <c r="H209" s="4" t="s">
        <v>147</v>
      </c>
      <c r="I209" s="4"/>
      <c r="J209" s="4"/>
      <c r="K209" s="4">
        <v>223</v>
      </c>
      <c r="L209" s="4">
        <v>9</v>
      </c>
      <c r="M209" s="4">
        <v>3</v>
      </c>
      <c r="N209" s="4" t="s">
        <v>6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0</v>
      </c>
      <c r="C210" s="4">
        <v>0</v>
      </c>
      <c r="D210" s="4">
        <v>1</v>
      </c>
      <c r="E210" s="4">
        <v>229</v>
      </c>
      <c r="F210" s="4">
        <f>ROUND(Source!AZ199,O210)</f>
        <v>0</v>
      </c>
      <c r="G210" s="4" t="s">
        <v>148</v>
      </c>
      <c r="H210" s="4" t="s">
        <v>149</v>
      </c>
      <c r="I210" s="4"/>
      <c r="J210" s="4"/>
      <c r="K210" s="4">
        <v>229</v>
      </c>
      <c r="L210" s="4">
        <v>10</v>
      </c>
      <c r="M210" s="4">
        <v>3</v>
      </c>
      <c r="N210" s="4" t="s">
        <v>6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0</v>
      </c>
      <c r="C211" s="4">
        <v>0</v>
      </c>
      <c r="D211" s="4">
        <v>1</v>
      </c>
      <c r="E211" s="4">
        <v>203</v>
      </c>
      <c r="F211" s="4">
        <f>ROUND(Source!Q199,O211)</f>
        <v>0</v>
      </c>
      <c r="G211" s="4" t="s">
        <v>150</v>
      </c>
      <c r="H211" s="4" t="s">
        <v>151</v>
      </c>
      <c r="I211" s="4"/>
      <c r="J211" s="4"/>
      <c r="K211" s="4">
        <v>203</v>
      </c>
      <c r="L211" s="4">
        <v>11</v>
      </c>
      <c r="M211" s="4">
        <v>3</v>
      </c>
      <c r="N211" s="4" t="s">
        <v>6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231</v>
      </c>
      <c r="F212" s="4">
        <f>ROUND(Source!BB199,O212)</f>
        <v>0</v>
      </c>
      <c r="G212" s="4" t="s">
        <v>152</v>
      </c>
      <c r="H212" s="4" t="s">
        <v>153</v>
      </c>
      <c r="I212" s="4"/>
      <c r="J212" s="4"/>
      <c r="K212" s="4">
        <v>231</v>
      </c>
      <c r="L212" s="4">
        <v>12</v>
      </c>
      <c r="M212" s="4">
        <v>3</v>
      </c>
      <c r="N212" s="4" t="s">
        <v>6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0</v>
      </c>
      <c r="C213" s="4">
        <v>0</v>
      </c>
      <c r="D213" s="4">
        <v>1</v>
      </c>
      <c r="E213" s="4">
        <v>204</v>
      </c>
      <c r="F213" s="4">
        <f>ROUND(Source!R199,O213)</f>
        <v>0</v>
      </c>
      <c r="G213" s="4" t="s">
        <v>154</v>
      </c>
      <c r="H213" s="4" t="s">
        <v>155</v>
      </c>
      <c r="I213" s="4"/>
      <c r="J213" s="4"/>
      <c r="K213" s="4">
        <v>204</v>
      </c>
      <c r="L213" s="4">
        <v>13</v>
      </c>
      <c r="M213" s="4">
        <v>3</v>
      </c>
      <c r="N213" s="4" t="s">
        <v>6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205</v>
      </c>
      <c r="F214" s="4">
        <f>ROUND(Source!S199,O214)</f>
        <v>0</v>
      </c>
      <c r="G214" s="4" t="s">
        <v>156</v>
      </c>
      <c r="H214" s="4" t="s">
        <v>157</v>
      </c>
      <c r="I214" s="4"/>
      <c r="J214" s="4"/>
      <c r="K214" s="4">
        <v>205</v>
      </c>
      <c r="L214" s="4">
        <v>14</v>
      </c>
      <c r="M214" s="4">
        <v>3</v>
      </c>
      <c r="N214" s="4" t="s">
        <v>6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232</v>
      </c>
      <c r="F215" s="4">
        <f>ROUND(Source!BC199,O215)</f>
        <v>0</v>
      </c>
      <c r="G215" s="4" t="s">
        <v>158</v>
      </c>
      <c r="H215" s="4" t="s">
        <v>159</v>
      </c>
      <c r="I215" s="4"/>
      <c r="J215" s="4"/>
      <c r="K215" s="4">
        <v>232</v>
      </c>
      <c r="L215" s="4">
        <v>15</v>
      </c>
      <c r="M215" s="4">
        <v>3</v>
      </c>
      <c r="N215" s="4" t="s">
        <v>6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214</v>
      </c>
      <c r="F216" s="4">
        <f>ROUND(Source!AS199,O216)</f>
        <v>12893</v>
      </c>
      <c r="G216" s="4" t="s">
        <v>160</v>
      </c>
      <c r="H216" s="4" t="s">
        <v>161</v>
      </c>
      <c r="I216" s="4"/>
      <c r="J216" s="4"/>
      <c r="K216" s="4">
        <v>214</v>
      </c>
      <c r="L216" s="4">
        <v>16</v>
      </c>
      <c r="M216" s="4">
        <v>3</v>
      </c>
      <c r="N216" s="4" t="s">
        <v>6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0</v>
      </c>
      <c r="C217" s="4">
        <v>0</v>
      </c>
      <c r="D217" s="4">
        <v>1</v>
      </c>
      <c r="E217" s="4">
        <v>215</v>
      </c>
      <c r="F217" s="4">
        <f>ROUND(Source!AT199,O217)</f>
        <v>0</v>
      </c>
      <c r="G217" s="4" t="s">
        <v>162</v>
      </c>
      <c r="H217" s="4" t="s">
        <v>163</v>
      </c>
      <c r="I217" s="4"/>
      <c r="J217" s="4"/>
      <c r="K217" s="4">
        <v>215</v>
      </c>
      <c r="L217" s="4">
        <v>17</v>
      </c>
      <c r="M217" s="4">
        <v>3</v>
      </c>
      <c r="N217" s="4" t="s">
        <v>6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0</v>
      </c>
      <c r="C218" s="4">
        <v>0</v>
      </c>
      <c r="D218" s="4">
        <v>1</v>
      </c>
      <c r="E218" s="4">
        <v>217</v>
      </c>
      <c r="F218" s="4">
        <f>ROUND(Source!AU199,O218)</f>
        <v>0</v>
      </c>
      <c r="G218" s="4" t="s">
        <v>164</v>
      </c>
      <c r="H218" s="4" t="s">
        <v>165</v>
      </c>
      <c r="I218" s="4"/>
      <c r="J218" s="4"/>
      <c r="K218" s="4">
        <v>217</v>
      </c>
      <c r="L218" s="4">
        <v>18</v>
      </c>
      <c r="M218" s="4">
        <v>3</v>
      </c>
      <c r="N218" s="4" t="s">
        <v>6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0</v>
      </c>
      <c r="C219" s="4">
        <v>0</v>
      </c>
      <c r="D219" s="4">
        <v>1</v>
      </c>
      <c r="E219" s="4">
        <v>230</v>
      </c>
      <c r="F219" s="4">
        <f>ROUND(Source!BA199,O219)</f>
        <v>0</v>
      </c>
      <c r="G219" s="4" t="s">
        <v>166</v>
      </c>
      <c r="H219" s="4" t="s">
        <v>167</v>
      </c>
      <c r="I219" s="4"/>
      <c r="J219" s="4"/>
      <c r="K219" s="4">
        <v>230</v>
      </c>
      <c r="L219" s="4">
        <v>19</v>
      </c>
      <c r="M219" s="4">
        <v>3</v>
      </c>
      <c r="N219" s="4" t="s">
        <v>6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 x14ac:dyDescent="0.2">
      <c r="A220" s="4">
        <v>50</v>
      </c>
      <c r="B220" s="4">
        <v>0</v>
      </c>
      <c r="C220" s="4">
        <v>0</v>
      </c>
      <c r="D220" s="4">
        <v>1</v>
      </c>
      <c r="E220" s="4">
        <v>206</v>
      </c>
      <c r="F220" s="4">
        <f>ROUND(Source!T199,O220)</f>
        <v>0</v>
      </c>
      <c r="G220" s="4" t="s">
        <v>168</v>
      </c>
      <c r="H220" s="4" t="s">
        <v>169</v>
      </c>
      <c r="I220" s="4"/>
      <c r="J220" s="4"/>
      <c r="K220" s="4">
        <v>206</v>
      </c>
      <c r="L220" s="4">
        <v>20</v>
      </c>
      <c r="M220" s="4">
        <v>3</v>
      </c>
      <c r="N220" s="4" t="s">
        <v>6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3" x14ac:dyDescent="0.2">
      <c r="A221" s="4">
        <v>50</v>
      </c>
      <c r="B221" s="4">
        <v>0</v>
      </c>
      <c r="C221" s="4">
        <v>0</v>
      </c>
      <c r="D221" s="4">
        <v>1</v>
      </c>
      <c r="E221" s="4">
        <v>207</v>
      </c>
      <c r="F221" s="4">
        <f>Source!U199</f>
        <v>0</v>
      </c>
      <c r="G221" s="4" t="s">
        <v>170</v>
      </c>
      <c r="H221" s="4" t="s">
        <v>171</v>
      </c>
      <c r="I221" s="4"/>
      <c r="J221" s="4"/>
      <c r="K221" s="4">
        <v>207</v>
      </c>
      <c r="L221" s="4">
        <v>21</v>
      </c>
      <c r="M221" s="4">
        <v>3</v>
      </c>
      <c r="N221" s="4" t="s">
        <v>6</v>
      </c>
      <c r="O221" s="4">
        <v>-1</v>
      </c>
      <c r="P221" s="4"/>
      <c r="Q221" s="4"/>
      <c r="R221" s="4"/>
      <c r="S221" s="4"/>
      <c r="T221" s="4"/>
      <c r="U221" s="4"/>
      <c r="V221" s="4"/>
      <c r="W221" s="4"/>
    </row>
    <row r="222" spans="1:23" x14ac:dyDescent="0.2">
      <c r="A222" s="4">
        <v>50</v>
      </c>
      <c r="B222" s="4">
        <v>0</v>
      </c>
      <c r="C222" s="4">
        <v>0</v>
      </c>
      <c r="D222" s="4">
        <v>1</v>
      </c>
      <c r="E222" s="4">
        <v>208</v>
      </c>
      <c r="F222" s="4">
        <f>Source!V199</f>
        <v>0</v>
      </c>
      <c r="G222" s="4" t="s">
        <v>172</v>
      </c>
      <c r="H222" s="4" t="s">
        <v>173</v>
      </c>
      <c r="I222" s="4"/>
      <c r="J222" s="4"/>
      <c r="K222" s="4">
        <v>208</v>
      </c>
      <c r="L222" s="4">
        <v>22</v>
      </c>
      <c r="M222" s="4">
        <v>3</v>
      </c>
      <c r="N222" s="4" t="s">
        <v>6</v>
      </c>
      <c r="O222" s="4">
        <v>-1</v>
      </c>
      <c r="P222" s="4"/>
      <c r="Q222" s="4"/>
      <c r="R222" s="4"/>
      <c r="S222" s="4"/>
      <c r="T222" s="4"/>
      <c r="U222" s="4"/>
      <c r="V222" s="4"/>
      <c r="W222" s="4"/>
    </row>
    <row r="223" spans="1:23" x14ac:dyDescent="0.2">
      <c r="A223" s="4">
        <v>50</v>
      </c>
      <c r="B223" s="4">
        <v>0</v>
      </c>
      <c r="C223" s="4">
        <v>0</v>
      </c>
      <c r="D223" s="4">
        <v>1</v>
      </c>
      <c r="E223" s="4">
        <v>209</v>
      </c>
      <c r="F223" s="4">
        <f>ROUND(Source!W199,O223)</f>
        <v>0</v>
      </c>
      <c r="G223" s="4" t="s">
        <v>174</v>
      </c>
      <c r="H223" s="4" t="s">
        <v>175</v>
      </c>
      <c r="I223" s="4"/>
      <c r="J223" s="4"/>
      <c r="K223" s="4">
        <v>209</v>
      </c>
      <c r="L223" s="4">
        <v>23</v>
      </c>
      <c r="M223" s="4">
        <v>3</v>
      </c>
      <c r="N223" s="4" t="s">
        <v>6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3" x14ac:dyDescent="0.2">
      <c r="A224" s="4">
        <v>50</v>
      </c>
      <c r="B224" s="4">
        <v>0</v>
      </c>
      <c r="C224" s="4">
        <v>0</v>
      </c>
      <c r="D224" s="4">
        <v>1</v>
      </c>
      <c r="E224" s="4">
        <v>210</v>
      </c>
      <c r="F224" s="4">
        <f>ROUND(Source!X199,O224)</f>
        <v>0</v>
      </c>
      <c r="G224" s="4" t="s">
        <v>176</v>
      </c>
      <c r="H224" s="4" t="s">
        <v>177</v>
      </c>
      <c r="I224" s="4"/>
      <c r="J224" s="4"/>
      <c r="K224" s="4">
        <v>210</v>
      </c>
      <c r="L224" s="4">
        <v>24</v>
      </c>
      <c r="M224" s="4">
        <v>3</v>
      </c>
      <c r="N224" s="4" t="s">
        <v>6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06" x14ac:dyDescent="0.2">
      <c r="A225" s="4">
        <v>50</v>
      </c>
      <c r="B225" s="4">
        <v>0</v>
      </c>
      <c r="C225" s="4">
        <v>0</v>
      </c>
      <c r="D225" s="4">
        <v>1</v>
      </c>
      <c r="E225" s="4">
        <v>211</v>
      </c>
      <c r="F225" s="4">
        <f>ROUND(Source!Y199,O225)</f>
        <v>0</v>
      </c>
      <c r="G225" s="4" t="s">
        <v>178</v>
      </c>
      <c r="H225" s="4" t="s">
        <v>179</v>
      </c>
      <c r="I225" s="4"/>
      <c r="J225" s="4"/>
      <c r="K225" s="4">
        <v>211</v>
      </c>
      <c r="L225" s="4">
        <v>25</v>
      </c>
      <c r="M225" s="4">
        <v>3</v>
      </c>
      <c r="N225" s="4" t="s">
        <v>6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06" x14ac:dyDescent="0.2">
      <c r="A226" s="4">
        <v>50</v>
      </c>
      <c r="B226" s="4">
        <v>0</v>
      </c>
      <c r="C226" s="4">
        <v>0</v>
      </c>
      <c r="D226" s="4">
        <v>1</v>
      </c>
      <c r="E226" s="4">
        <v>224</v>
      </c>
      <c r="F226" s="4">
        <f>ROUND(Source!AR199,O226)</f>
        <v>12893</v>
      </c>
      <c r="G226" s="4" t="s">
        <v>180</v>
      </c>
      <c r="H226" s="4" t="s">
        <v>181</v>
      </c>
      <c r="I226" s="4"/>
      <c r="J226" s="4"/>
      <c r="K226" s="4">
        <v>224</v>
      </c>
      <c r="L226" s="4">
        <v>26</v>
      </c>
      <c r="M226" s="4">
        <v>3</v>
      </c>
      <c r="N226" s="4" t="s">
        <v>6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06" x14ac:dyDescent="0.2">
      <c r="A227" s="4">
        <v>50</v>
      </c>
      <c r="B227" s="4">
        <v>1</v>
      </c>
      <c r="C227" s="4">
        <v>0</v>
      </c>
      <c r="D227" s="4">
        <v>2</v>
      </c>
      <c r="E227" s="4">
        <v>0</v>
      </c>
      <c r="F227" s="4">
        <f>ROUND(F226*0.069,O227)</f>
        <v>889.62</v>
      </c>
      <c r="G227" s="4" t="s">
        <v>4</v>
      </c>
      <c r="H227" s="4" t="s">
        <v>278</v>
      </c>
      <c r="I227" s="4"/>
      <c r="J227" s="4"/>
      <c r="K227" s="4">
        <v>212</v>
      </c>
      <c r="L227" s="4">
        <v>27</v>
      </c>
      <c r="M227" s="4">
        <v>0</v>
      </c>
      <c r="N227" s="4" t="s">
        <v>6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06" x14ac:dyDescent="0.2">
      <c r="A228" s="4">
        <v>50</v>
      </c>
      <c r="B228" s="4">
        <v>1</v>
      </c>
      <c r="C228" s="4">
        <v>0</v>
      </c>
      <c r="D228" s="4">
        <v>2</v>
      </c>
      <c r="E228" s="4">
        <v>0</v>
      </c>
      <c r="F228" s="4">
        <f>ROUND(F226+F227,O228)</f>
        <v>13782.62</v>
      </c>
      <c r="G228" s="4" t="s">
        <v>40</v>
      </c>
      <c r="H228" s="4" t="s">
        <v>279</v>
      </c>
      <c r="I228" s="4"/>
      <c r="J228" s="4"/>
      <c r="K228" s="4">
        <v>212</v>
      </c>
      <c r="L228" s="4">
        <v>28</v>
      </c>
      <c r="M228" s="4">
        <v>0</v>
      </c>
      <c r="N228" s="4" t="s">
        <v>6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30" spans="1:206" x14ac:dyDescent="0.2">
      <c r="A230" s="2">
        <v>51</v>
      </c>
      <c r="B230" s="2">
        <f>B20</f>
        <v>1</v>
      </c>
      <c r="C230" s="2">
        <f>A20</f>
        <v>3</v>
      </c>
      <c r="D230" s="2">
        <f>ROW(A20)</f>
        <v>20</v>
      </c>
      <c r="E230" s="2"/>
      <c r="F230" s="2" t="str">
        <f>IF(F20&lt;&gt;"",F20,"")</f>
        <v>1</v>
      </c>
      <c r="G230" s="2" t="str">
        <f>IF(G20&lt;&gt;"",G20,"")</f>
        <v>Существующая электрическая сеть 6 кВ по территории СНТ " Фарфорист" и СНТ " Дружба"</v>
      </c>
      <c r="H230" s="2">
        <v>0</v>
      </c>
      <c r="I230" s="2"/>
      <c r="J230" s="2"/>
      <c r="K230" s="2"/>
      <c r="L230" s="2"/>
      <c r="M230" s="2"/>
      <c r="N230" s="2"/>
      <c r="O230" s="2">
        <f t="shared" ref="O230:T230" si="133">ROUND(O44+O92+O128+O163+O199+AB230,2)</f>
        <v>2106052.11</v>
      </c>
      <c r="P230" s="2">
        <f t="shared" si="133"/>
        <v>1195472.3600000001</v>
      </c>
      <c r="Q230" s="2">
        <f t="shared" si="133"/>
        <v>214757.61</v>
      </c>
      <c r="R230" s="2">
        <f t="shared" si="133"/>
        <v>43819.66</v>
      </c>
      <c r="S230" s="2">
        <f t="shared" si="133"/>
        <v>695822.14</v>
      </c>
      <c r="T230" s="2">
        <f t="shared" si="133"/>
        <v>0</v>
      </c>
      <c r="U230" s="2">
        <f>U44+U92+U128+U163+U199+AH230</f>
        <v>2832.8306627999987</v>
      </c>
      <c r="V230" s="2">
        <f>V44+V92+V128+V163+V199+AI230</f>
        <v>118.26843</v>
      </c>
      <c r="W230" s="2">
        <f>ROUND(W44+W92+W128+W163+W199+AJ230,2)</f>
        <v>3367.85</v>
      </c>
      <c r="X230" s="2">
        <f>ROUND(X44+X92+X128+X163+X199+AK230,2)</f>
        <v>708205.43</v>
      </c>
      <c r="Y230" s="2">
        <f>ROUND(Y44+Y92+Y128+Y163+Y199+AL230,2)</f>
        <v>430432.93</v>
      </c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>
        <f t="shared" ref="AO230:BC230" si="134">ROUND(AO44+AO92+AO128+AO163+AO199+BX230,2)</f>
        <v>0</v>
      </c>
      <c r="AP230" s="2">
        <f t="shared" si="134"/>
        <v>0</v>
      </c>
      <c r="AQ230" s="2">
        <f t="shared" si="134"/>
        <v>0</v>
      </c>
      <c r="AR230" s="2">
        <f t="shared" si="134"/>
        <v>3244690.47</v>
      </c>
      <c r="AS230" s="2">
        <f t="shared" si="134"/>
        <v>2543032.81</v>
      </c>
      <c r="AT230" s="2">
        <f t="shared" si="134"/>
        <v>683287.78</v>
      </c>
      <c r="AU230" s="2">
        <f t="shared" si="134"/>
        <v>18369.88</v>
      </c>
      <c r="AV230" s="2">
        <f t="shared" si="134"/>
        <v>1195472.3600000001</v>
      </c>
      <c r="AW230" s="2">
        <f t="shared" si="134"/>
        <v>1195472.3600000001</v>
      </c>
      <c r="AX230" s="2">
        <f t="shared" si="134"/>
        <v>0</v>
      </c>
      <c r="AY230" s="2">
        <f t="shared" si="134"/>
        <v>1195472.3600000001</v>
      </c>
      <c r="AZ230" s="2">
        <f t="shared" si="134"/>
        <v>0</v>
      </c>
      <c r="BA230" s="2">
        <f t="shared" si="134"/>
        <v>0</v>
      </c>
      <c r="BB230" s="2">
        <f t="shared" si="134"/>
        <v>0</v>
      </c>
      <c r="BC230" s="2">
        <f t="shared" si="134"/>
        <v>0</v>
      </c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>
        <v>0</v>
      </c>
    </row>
    <row r="232" spans="1:206" x14ac:dyDescent="0.2">
      <c r="A232" s="4">
        <v>50</v>
      </c>
      <c r="B232" s="4">
        <v>0</v>
      </c>
      <c r="C232" s="4">
        <v>0</v>
      </c>
      <c r="D232" s="4">
        <v>1</v>
      </c>
      <c r="E232" s="4">
        <v>201</v>
      </c>
      <c r="F232" s="4">
        <f>ROUND(Source!O230,O232)</f>
        <v>2106052.11</v>
      </c>
      <c r="G232" s="4" t="s">
        <v>130</v>
      </c>
      <c r="H232" s="4" t="s">
        <v>131</v>
      </c>
      <c r="I232" s="4"/>
      <c r="J232" s="4"/>
      <c r="K232" s="4">
        <v>201</v>
      </c>
      <c r="L232" s="4">
        <v>1</v>
      </c>
      <c r="M232" s="4">
        <v>3</v>
      </c>
      <c r="N232" s="4" t="s">
        <v>6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06" x14ac:dyDescent="0.2">
      <c r="A233" s="4">
        <v>50</v>
      </c>
      <c r="B233" s="4">
        <v>0</v>
      </c>
      <c r="C233" s="4">
        <v>0</v>
      </c>
      <c r="D233" s="4">
        <v>1</v>
      </c>
      <c r="E233" s="4">
        <v>202</v>
      </c>
      <c r="F233" s="4">
        <f>ROUND(Source!P230,O233)</f>
        <v>1195472.3600000001</v>
      </c>
      <c r="G233" s="4" t="s">
        <v>132</v>
      </c>
      <c r="H233" s="4" t="s">
        <v>133</v>
      </c>
      <c r="I233" s="4"/>
      <c r="J233" s="4"/>
      <c r="K233" s="4">
        <v>202</v>
      </c>
      <c r="L233" s="4">
        <v>2</v>
      </c>
      <c r="M233" s="4">
        <v>3</v>
      </c>
      <c r="N233" s="4" t="s">
        <v>6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06" x14ac:dyDescent="0.2">
      <c r="A234" s="4">
        <v>50</v>
      </c>
      <c r="B234" s="4">
        <v>0</v>
      </c>
      <c r="C234" s="4">
        <v>0</v>
      </c>
      <c r="D234" s="4">
        <v>1</v>
      </c>
      <c r="E234" s="4">
        <v>222</v>
      </c>
      <c r="F234" s="4">
        <f>ROUND(Source!AO230,O234)</f>
        <v>0</v>
      </c>
      <c r="G234" s="4" t="s">
        <v>134</v>
      </c>
      <c r="H234" s="4" t="s">
        <v>135</v>
      </c>
      <c r="I234" s="4"/>
      <c r="J234" s="4"/>
      <c r="K234" s="4">
        <v>222</v>
      </c>
      <c r="L234" s="4">
        <v>3</v>
      </c>
      <c r="M234" s="4">
        <v>3</v>
      </c>
      <c r="N234" s="4" t="s">
        <v>6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06" x14ac:dyDescent="0.2">
      <c r="A235" s="4">
        <v>50</v>
      </c>
      <c r="B235" s="4">
        <v>0</v>
      </c>
      <c r="C235" s="4">
        <v>0</v>
      </c>
      <c r="D235" s="4">
        <v>1</v>
      </c>
      <c r="E235" s="4">
        <v>225</v>
      </c>
      <c r="F235" s="4">
        <f>ROUND(Source!AV230,O235)</f>
        <v>1195472.3600000001</v>
      </c>
      <c r="G235" s="4" t="s">
        <v>136</v>
      </c>
      <c r="H235" s="4" t="s">
        <v>137</v>
      </c>
      <c r="I235" s="4"/>
      <c r="J235" s="4"/>
      <c r="K235" s="4">
        <v>225</v>
      </c>
      <c r="L235" s="4">
        <v>4</v>
      </c>
      <c r="M235" s="4">
        <v>3</v>
      </c>
      <c r="N235" s="4" t="s">
        <v>6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06" x14ac:dyDescent="0.2">
      <c r="A236" s="4">
        <v>50</v>
      </c>
      <c r="B236" s="4">
        <v>0</v>
      </c>
      <c r="C236" s="4">
        <v>0</v>
      </c>
      <c r="D236" s="4">
        <v>1</v>
      </c>
      <c r="E236" s="4">
        <v>226</v>
      </c>
      <c r="F236" s="4">
        <f>ROUND(Source!AW230,O236)</f>
        <v>1195472.3600000001</v>
      </c>
      <c r="G236" s="4" t="s">
        <v>138</v>
      </c>
      <c r="H236" s="4" t="s">
        <v>139</v>
      </c>
      <c r="I236" s="4"/>
      <c r="J236" s="4"/>
      <c r="K236" s="4">
        <v>226</v>
      </c>
      <c r="L236" s="4">
        <v>5</v>
      </c>
      <c r="M236" s="4">
        <v>3</v>
      </c>
      <c r="N236" s="4" t="s">
        <v>6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06" x14ac:dyDescent="0.2">
      <c r="A237" s="4">
        <v>50</v>
      </c>
      <c r="B237" s="4">
        <v>0</v>
      </c>
      <c r="C237" s="4">
        <v>0</v>
      </c>
      <c r="D237" s="4">
        <v>1</v>
      </c>
      <c r="E237" s="4">
        <v>227</v>
      </c>
      <c r="F237" s="4">
        <f>ROUND(Source!AX230,O237)</f>
        <v>0</v>
      </c>
      <c r="G237" s="4" t="s">
        <v>140</v>
      </c>
      <c r="H237" s="4" t="s">
        <v>141</v>
      </c>
      <c r="I237" s="4"/>
      <c r="J237" s="4"/>
      <c r="K237" s="4">
        <v>227</v>
      </c>
      <c r="L237" s="4">
        <v>6</v>
      </c>
      <c r="M237" s="4">
        <v>3</v>
      </c>
      <c r="N237" s="4" t="s">
        <v>6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06" x14ac:dyDescent="0.2">
      <c r="A238" s="4">
        <v>50</v>
      </c>
      <c r="B238" s="4">
        <v>0</v>
      </c>
      <c r="C238" s="4">
        <v>0</v>
      </c>
      <c r="D238" s="4">
        <v>1</v>
      </c>
      <c r="E238" s="4">
        <v>228</v>
      </c>
      <c r="F238" s="4">
        <f>ROUND(Source!AY230,O238)</f>
        <v>1195472.3600000001</v>
      </c>
      <c r="G238" s="4" t="s">
        <v>142</v>
      </c>
      <c r="H238" s="4" t="s">
        <v>143</v>
      </c>
      <c r="I238" s="4"/>
      <c r="J238" s="4"/>
      <c r="K238" s="4">
        <v>228</v>
      </c>
      <c r="L238" s="4">
        <v>7</v>
      </c>
      <c r="M238" s="4">
        <v>3</v>
      </c>
      <c r="N238" s="4" t="s">
        <v>6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06" x14ac:dyDescent="0.2">
      <c r="A239" s="4">
        <v>50</v>
      </c>
      <c r="B239" s="4">
        <v>0</v>
      </c>
      <c r="C239" s="4">
        <v>0</v>
      </c>
      <c r="D239" s="4">
        <v>1</v>
      </c>
      <c r="E239" s="4">
        <v>216</v>
      </c>
      <c r="F239" s="4">
        <f>ROUND(Source!AP230,O239)</f>
        <v>0</v>
      </c>
      <c r="G239" s="4" t="s">
        <v>144</v>
      </c>
      <c r="H239" s="4" t="s">
        <v>145</v>
      </c>
      <c r="I239" s="4"/>
      <c r="J239" s="4"/>
      <c r="K239" s="4">
        <v>216</v>
      </c>
      <c r="L239" s="4">
        <v>8</v>
      </c>
      <c r="M239" s="4">
        <v>3</v>
      </c>
      <c r="N239" s="4" t="s">
        <v>6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06" x14ac:dyDescent="0.2">
      <c r="A240" s="4">
        <v>50</v>
      </c>
      <c r="B240" s="4">
        <v>0</v>
      </c>
      <c r="C240" s="4">
        <v>0</v>
      </c>
      <c r="D240" s="4">
        <v>1</v>
      </c>
      <c r="E240" s="4">
        <v>223</v>
      </c>
      <c r="F240" s="4">
        <f>ROUND(Source!AQ230,O240)</f>
        <v>0</v>
      </c>
      <c r="G240" s="4" t="s">
        <v>146</v>
      </c>
      <c r="H240" s="4" t="s">
        <v>147</v>
      </c>
      <c r="I240" s="4"/>
      <c r="J240" s="4"/>
      <c r="K240" s="4">
        <v>223</v>
      </c>
      <c r="L240" s="4">
        <v>9</v>
      </c>
      <c r="M240" s="4">
        <v>3</v>
      </c>
      <c r="N240" s="4" t="s">
        <v>6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3" x14ac:dyDescent="0.2">
      <c r="A241" s="4">
        <v>50</v>
      </c>
      <c r="B241" s="4">
        <v>0</v>
      </c>
      <c r="C241" s="4">
        <v>0</v>
      </c>
      <c r="D241" s="4">
        <v>1</v>
      </c>
      <c r="E241" s="4">
        <v>229</v>
      </c>
      <c r="F241" s="4">
        <f>ROUND(Source!AZ230,O241)</f>
        <v>0</v>
      </c>
      <c r="G241" s="4" t="s">
        <v>148</v>
      </c>
      <c r="H241" s="4" t="s">
        <v>149</v>
      </c>
      <c r="I241" s="4"/>
      <c r="J241" s="4"/>
      <c r="K241" s="4">
        <v>229</v>
      </c>
      <c r="L241" s="4">
        <v>10</v>
      </c>
      <c r="M241" s="4">
        <v>3</v>
      </c>
      <c r="N241" s="4" t="s">
        <v>6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3" x14ac:dyDescent="0.2">
      <c r="A242" s="4">
        <v>50</v>
      </c>
      <c r="B242" s="4">
        <v>0</v>
      </c>
      <c r="C242" s="4">
        <v>0</v>
      </c>
      <c r="D242" s="4">
        <v>1</v>
      </c>
      <c r="E242" s="4">
        <v>203</v>
      </c>
      <c r="F242" s="4">
        <f>ROUND(Source!Q230,O242)</f>
        <v>214757.61</v>
      </c>
      <c r="G242" s="4" t="s">
        <v>150</v>
      </c>
      <c r="H242" s="4" t="s">
        <v>151</v>
      </c>
      <c r="I242" s="4"/>
      <c r="J242" s="4"/>
      <c r="K242" s="4">
        <v>203</v>
      </c>
      <c r="L242" s="4">
        <v>11</v>
      </c>
      <c r="M242" s="4">
        <v>3</v>
      </c>
      <c r="N242" s="4" t="s">
        <v>6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3" x14ac:dyDescent="0.2">
      <c r="A243" s="4">
        <v>50</v>
      </c>
      <c r="B243" s="4">
        <v>0</v>
      </c>
      <c r="C243" s="4">
        <v>0</v>
      </c>
      <c r="D243" s="4">
        <v>1</v>
      </c>
      <c r="E243" s="4">
        <v>231</v>
      </c>
      <c r="F243" s="4">
        <f>ROUND(Source!BB230,O243)</f>
        <v>0</v>
      </c>
      <c r="G243" s="4" t="s">
        <v>152</v>
      </c>
      <c r="H243" s="4" t="s">
        <v>153</v>
      </c>
      <c r="I243" s="4"/>
      <c r="J243" s="4"/>
      <c r="K243" s="4">
        <v>231</v>
      </c>
      <c r="L243" s="4">
        <v>12</v>
      </c>
      <c r="M243" s="4">
        <v>3</v>
      </c>
      <c r="N243" s="4" t="s">
        <v>6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3" x14ac:dyDescent="0.2">
      <c r="A244" s="4">
        <v>50</v>
      </c>
      <c r="B244" s="4">
        <v>0</v>
      </c>
      <c r="C244" s="4">
        <v>0</v>
      </c>
      <c r="D244" s="4">
        <v>1</v>
      </c>
      <c r="E244" s="4">
        <v>204</v>
      </c>
      <c r="F244" s="4">
        <f>ROUND(Source!R230,O244)</f>
        <v>43819.66</v>
      </c>
      <c r="G244" s="4" t="s">
        <v>154</v>
      </c>
      <c r="H244" s="4" t="s">
        <v>155</v>
      </c>
      <c r="I244" s="4"/>
      <c r="J244" s="4"/>
      <c r="K244" s="4">
        <v>204</v>
      </c>
      <c r="L244" s="4">
        <v>13</v>
      </c>
      <c r="M244" s="4">
        <v>3</v>
      </c>
      <c r="N244" s="4" t="s">
        <v>6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3" x14ac:dyDescent="0.2">
      <c r="A245" s="4">
        <v>50</v>
      </c>
      <c r="B245" s="4">
        <v>0</v>
      </c>
      <c r="C245" s="4">
        <v>0</v>
      </c>
      <c r="D245" s="4">
        <v>1</v>
      </c>
      <c r="E245" s="4">
        <v>205</v>
      </c>
      <c r="F245" s="4">
        <f>ROUND(Source!S230,O245)</f>
        <v>695822.14</v>
      </c>
      <c r="G245" s="4" t="s">
        <v>156</v>
      </c>
      <c r="H245" s="4" t="s">
        <v>157</v>
      </c>
      <c r="I245" s="4"/>
      <c r="J245" s="4"/>
      <c r="K245" s="4">
        <v>205</v>
      </c>
      <c r="L245" s="4">
        <v>14</v>
      </c>
      <c r="M245" s="4">
        <v>3</v>
      </c>
      <c r="N245" s="4" t="s">
        <v>6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3" x14ac:dyDescent="0.2">
      <c r="A246" s="4">
        <v>50</v>
      </c>
      <c r="B246" s="4">
        <v>0</v>
      </c>
      <c r="C246" s="4">
        <v>0</v>
      </c>
      <c r="D246" s="4">
        <v>1</v>
      </c>
      <c r="E246" s="4">
        <v>232</v>
      </c>
      <c r="F246" s="4">
        <f>ROUND(Source!BC230,O246)</f>
        <v>0</v>
      </c>
      <c r="G246" s="4" t="s">
        <v>158</v>
      </c>
      <c r="H246" s="4" t="s">
        <v>159</v>
      </c>
      <c r="I246" s="4"/>
      <c r="J246" s="4"/>
      <c r="K246" s="4">
        <v>232</v>
      </c>
      <c r="L246" s="4">
        <v>15</v>
      </c>
      <c r="M246" s="4">
        <v>3</v>
      </c>
      <c r="N246" s="4" t="s">
        <v>6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3" x14ac:dyDescent="0.2">
      <c r="A247" s="4">
        <v>50</v>
      </c>
      <c r="B247" s="4">
        <v>0</v>
      </c>
      <c r="C247" s="4">
        <v>0</v>
      </c>
      <c r="D247" s="4">
        <v>1</v>
      </c>
      <c r="E247" s="4">
        <v>214</v>
      </c>
      <c r="F247" s="4">
        <f>ROUND(Source!AS230,O247)</f>
        <v>2543032.81</v>
      </c>
      <c r="G247" s="4" t="s">
        <v>160</v>
      </c>
      <c r="H247" s="4" t="s">
        <v>161</v>
      </c>
      <c r="I247" s="4"/>
      <c r="J247" s="4"/>
      <c r="K247" s="4">
        <v>214</v>
      </c>
      <c r="L247" s="4">
        <v>16</v>
      </c>
      <c r="M247" s="4">
        <v>3</v>
      </c>
      <c r="N247" s="4" t="s">
        <v>6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3" x14ac:dyDescent="0.2">
      <c r="A248" s="4">
        <v>50</v>
      </c>
      <c r="B248" s="4">
        <v>0</v>
      </c>
      <c r="C248" s="4">
        <v>0</v>
      </c>
      <c r="D248" s="4">
        <v>1</v>
      </c>
      <c r="E248" s="4">
        <v>215</v>
      </c>
      <c r="F248" s="4">
        <f>ROUND(Source!AT230,O248)</f>
        <v>683287.78</v>
      </c>
      <c r="G248" s="4" t="s">
        <v>162</v>
      </c>
      <c r="H248" s="4" t="s">
        <v>163</v>
      </c>
      <c r="I248" s="4"/>
      <c r="J248" s="4"/>
      <c r="K248" s="4">
        <v>215</v>
      </c>
      <c r="L248" s="4">
        <v>17</v>
      </c>
      <c r="M248" s="4">
        <v>3</v>
      </c>
      <c r="N248" s="4" t="s">
        <v>6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3" x14ac:dyDescent="0.2">
      <c r="A249" s="4">
        <v>50</v>
      </c>
      <c r="B249" s="4">
        <v>0</v>
      </c>
      <c r="C249" s="4">
        <v>0</v>
      </c>
      <c r="D249" s="4">
        <v>1</v>
      </c>
      <c r="E249" s="4">
        <v>217</v>
      </c>
      <c r="F249" s="4">
        <f>ROUND(Source!AU230,O249)</f>
        <v>18369.88</v>
      </c>
      <c r="G249" s="4" t="s">
        <v>164</v>
      </c>
      <c r="H249" s="4" t="s">
        <v>165</v>
      </c>
      <c r="I249" s="4"/>
      <c r="J249" s="4"/>
      <c r="K249" s="4">
        <v>217</v>
      </c>
      <c r="L249" s="4">
        <v>18</v>
      </c>
      <c r="M249" s="4">
        <v>3</v>
      </c>
      <c r="N249" s="4" t="s">
        <v>6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3" x14ac:dyDescent="0.2">
      <c r="A250" s="4">
        <v>50</v>
      </c>
      <c r="B250" s="4">
        <v>0</v>
      </c>
      <c r="C250" s="4">
        <v>0</v>
      </c>
      <c r="D250" s="4">
        <v>1</v>
      </c>
      <c r="E250" s="4">
        <v>230</v>
      </c>
      <c r="F250" s="4">
        <f>ROUND(Source!BA230,O250)</f>
        <v>0</v>
      </c>
      <c r="G250" s="4" t="s">
        <v>166</v>
      </c>
      <c r="H250" s="4" t="s">
        <v>167</v>
      </c>
      <c r="I250" s="4"/>
      <c r="J250" s="4"/>
      <c r="K250" s="4">
        <v>230</v>
      </c>
      <c r="L250" s="4">
        <v>19</v>
      </c>
      <c r="M250" s="4">
        <v>3</v>
      </c>
      <c r="N250" s="4" t="s">
        <v>6</v>
      </c>
      <c r="O250" s="4">
        <v>2</v>
      </c>
      <c r="P250" s="4"/>
      <c r="Q250" s="4"/>
      <c r="R250" s="4"/>
      <c r="S250" s="4"/>
      <c r="T250" s="4"/>
      <c r="U250" s="4"/>
      <c r="V250" s="4"/>
      <c r="W250" s="4"/>
    </row>
    <row r="251" spans="1:23" x14ac:dyDescent="0.2">
      <c r="A251" s="4">
        <v>50</v>
      </c>
      <c r="B251" s="4">
        <v>0</v>
      </c>
      <c r="C251" s="4">
        <v>0</v>
      </c>
      <c r="D251" s="4">
        <v>1</v>
      </c>
      <c r="E251" s="4">
        <v>206</v>
      </c>
      <c r="F251" s="4">
        <f>ROUND(Source!T230,O251)</f>
        <v>0</v>
      </c>
      <c r="G251" s="4" t="s">
        <v>168</v>
      </c>
      <c r="H251" s="4" t="s">
        <v>169</v>
      </c>
      <c r="I251" s="4"/>
      <c r="J251" s="4"/>
      <c r="K251" s="4">
        <v>206</v>
      </c>
      <c r="L251" s="4">
        <v>20</v>
      </c>
      <c r="M251" s="4">
        <v>3</v>
      </c>
      <c r="N251" s="4" t="s">
        <v>6</v>
      </c>
      <c r="O251" s="4">
        <v>2</v>
      </c>
      <c r="P251" s="4"/>
      <c r="Q251" s="4"/>
      <c r="R251" s="4"/>
      <c r="S251" s="4"/>
      <c r="T251" s="4"/>
      <c r="U251" s="4"/>
      <c r="V251" s="4"/>
      <c r="W251" s="4"/>
    </row>
    <row r="252" spans="1:23" x14ac:dyDescent="0.2">
      <c r="A252" s="4">
        <v>50</v>
      </c>
      <c r="B252" s="4">
        <v>0</v>
      </c>
      <c r="C252" s="4">
        <v>0</v>
      </c>
      <c r="D252" s="4">
        <v>1</v>
      </c>
      <c r="E252" s="4">
        <v>207</v>
      </c>
      <c r="F252" s="4">
        <f>Source!U230</f>
        <v>2832.8306627999987</v>
      </c>
      <c r="G252" s="4" t="s">
        <v>170</v>
      </c>
      <c r="H252" s="4" t="s">
        <v>171</v>
      </c>
      <c r="I252" s="4"/>
      <c r="J252" s="4"/>
      <c r="K252" s="4">
        <v>207</v>
      </c>
      <c r="L252" s="4">
        <v>21</v>
      </c>
      <c r="M252" s="4">
        <v>3</v>
      </c>
      <c r="N252" s="4" t="s">
        <v>6</v>
      </c>
      <c r="O252" s="4">
        <v>-1</v>
      </c>
      <c r="P252" s="4"/>
      <c r="Q252" s="4"/>
      <c r="R252" s="4"/>
      <c r="S252" s="4"/>
      <c r="T252" s="4"/>
      <c r="U252" s="4"/>
      <c r="V252" s="4"/>
      <c r="W252" s="4"/>
    </row>
    <row r="253" spans="1:23" x14ac:dyDescent="0.2">
      <c r="A253" s="4">
        <v>50</v>
      </c>
      <c r="B253" s="4">
        <v>0</v>
      </c>
      <c r="C253" s="4">
        <v>0</v>
      </c>
      <c r="D253" s="4">
        <v>1</v>
      </c>
      <c r="E253" s="4">
        <v>208</v>
      </c>
      <c r="F253" s="4">
        <f>Source!V230</f>
        <v>118.26843</v>
      </c>
      <c r="G253" s="4" t="s">
        <v>172</v>
      </c>
      <c r="H253" s="4" t="s">
        <v>173</v>
      </c>
      <c r="I253" s="4"/>
      <c r="J253" s="4"/>
      <c r="K253" s="4">
        <v>208</v>
      </c>
      <c r="L253" s="4">
        <v>22</v>
      </c>
      <c r="M253" s="4">
        <v>3</v>
      </c>
      <c r="N253" s="4" t="s">
        <v>6</v>
      </c>
      <c r="O253" s="4">
        <v>-1</v>
      </c>
      <c r="P253" s="4"/>
      <c r="Q253" s="4"/>
      <c r="R253" s="4"/>
      <c r="S253" s="4"/>
      <c r="T253" s="4"/>
      <c r="U253" s="4"/>
      <c r="V253" s="4"/>
      <c r="W253" s="4"/>
    </row>
    <row r="254" spans="1:23" x14ac:dyDescent="0.2">
      <c r="A254" s="4">
        <v>50</v>
      </c>
      <c r="B254" s="4">
        <v>0</v>
      </c>
      <c r="C254" s="4">
        <v>0</v>
      </c>
      <c r="D254" s="4">
        <v>1</v>
      </c>
      <c r="E254" s="4">
        <v>209</v>
      </c>
      <c r="F254" s="4">
        <f>ROUND(Source!W230,O254)</f>
        <v>3367.85</v>
      </c>
      <c r="G254" s="4" t="s">
        <v>174</v>
      </c>
      <c r="H254" s="4" t="s">
        <v>175</v>
      </c>
      <c r="I254" s="4"/>
      <c r="J254" s="4"/>
      <c r="K254" s="4">
        <v>209</v>
      </c>
      <c r="L254" s="4">
        <v>23</v>
      </c>
      <c r="M254" s="4">
        <v>3</v>
      </c>
      <c r="N254" s="4" t="s">
        <v>6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3" x14ac:dyDescent="0.2">
      <c r="A255" s="4">
        <v>50</v>
      </c>
      <c r="B255" s="4">
        <v>0</v>
      </c>
      <c r="C255" s="4">
        <v>0</v>
      </c>
      <c r="D255" s="4">
        <v>1</v>
      </c>
      <c r="E255" s="4">
        <v>210</v>
      </c>
      <c r="F255" s="4">
        <f>ROUND(Source!X230,O255)</f>
        <v>708205.43</v>
      </c>
      <c r="G255" s="4" t="s">
        <v>176</v>
      </c>
      <c r="H255" s="4" t="s">
        <v>177</v>
      </c>
      <c r="I255" s="4"/>
      <c r="J255" s="4"/>
      <c r="K255" s="4">
        <v>210</v>
      </c>
      <c r="L255" s="4">
        <v>24</v>
      </c>
      <c r="M255" s="4">
        <v>3</v>
      </c>
      <c r="N255" s="4" t="s">
        <v>6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6" spans="1:23" x14ac:dyDescent="0.2">
      <c r="A256" s="4">
        <v>50</v>
      </c>
      <c r="B256" s="4">
        <v>0</v>
      </c>
      <c r="C256" s="4">
        <v>0</v>
      </c>
      <c r="D256" s="4">
        <v>1</v>
      </c>
      <c r="E256" s="4">
        <v>211</v>
      </c>
      <c r="F256" s="4">
        <f>ROUND(Source!Y230,O256)</f>
        <v>430432.93</v>
      </c>
      <c r="G256" s="4" t="s">
        <v>178</v>
      </c>
      <c r="H256" s="4" t="s">
        <v>179</v>
      </c>
      <c r="I256" s="4"/>
      <c r="J256" s="4"/>
      <c r="K256" s="4">
        <v>211</v>
      </c>
      <c r="L256" s="4">
        <v>25</v>
      </c>
      <c r="M256" s="4">
        <v>3</v>
      </c>
      <c r="N256" s="4" t="s">
        <v>6</v>
      </c>
      <c r="O256" s="4">
        <v>2</v>
      </c>
      <c r="P256" s="4"/>
      <c r="Q256" s="4"/>
      <c r="R256" s="4"/>
      <c r="S256" s="4"/>
      <c r="T256" s="4"/>
      <c r="U256" s="4"/>
      <c r="V256" s="4"/>
      <c r="W256" s="4"/>
    </row>
    <row r="257" spans="1:206" x14ac:dyDescent="0.2">
      <c r="A257" s="4">
        <v>50</v>
      </c>
      <c r="B257" s="4">
        <v>0</v>
      </c>
      <c r="C257" s="4">
        <v>0</v>
      </c>
      <c r="D257" s="4">
        <v>1</v>
      </c>
      <c r="E257" s="4">
        <v>224</v>
      </c>
      <c r="F257" s="4">
        <f>ROUND(Source!AR230,O257)</f>
        <v>3244690.47</v>
      </c>
      <c r="G257" s="4" t="s">
        <v>180</v>
      </c>
      <c r="H257" s="4" t="s">
        <v>181</v>
      </c>
      <c r="I257" s="4"/>
      <c r="J257" s="4"/>
      <c r="K257" s="4">
        <v>224</v>
      </c>
      <c r="L257" s="4">
        <v>26</v>
      </c>
      <c r="M257" s="4">
        <v>3</v>
      </c>
      <c r="N257" s="4" t="s">
        <v>6</v>
      </c>
      <c r="O257" s="4">
        <v>2</v>
      </c>
      <c r="P257" s="4"/>
      <c r="Q257" s="4"/>
      <c r="R257" s="4"/>
      <c r="S257" s="4"/>
      <c r="T257" s="4"/>
      <c r="U257" s="4"/>
      <c r="V257" s="4"/>
      <c r="W257" s="4"/>
    </row>
    <row r="259" spans="1:206" x14ac:dyDescent="0.2">
      <c r="A259" s="2">
        <v>51</v>
      </c>
      <c r="B259" s="2">
        <f>B12</f>
        <v>324</v>
      </c>
      <c r="C259" s="2">
        <f>A12</f>
        <v>1</v>
      </c>
      <c r="D259" s="2">
        <f>ROW(A12)</f>
        <v>12</v>
      </c>
      <c r="E259" s="2"/>
      <c r="F259" s="2" t="str">
        <f>IF(F12&lt;&gt;"",F12,"")</f>
        <v>1</v>
      </c>
      <c r="G259" s="2" t="str">
        <f>IF(G12&lt;&gt;"",G12,"")</f>
        <v>Существующая электрическая сеть 6 кВ по территории СНТ " Фарфорист" и СНТ " Дружба"</v>
      </c>
      <c r="H259" s="2">
        <v>0</v>
      </c>
      <c r="I259" s="2"/>
      <c r="J259" s="2"/>
      <c r="K259" s="2"/>
      <c r="L259" s="2"/>
      <c r="M259" s="2"/>
      <c r="N259" s="2"/>
      <c r="O259" s="2">
        <f t="shared" ref="O259:T259" si="135">ROUND(O230,2)</f>
        <v>2106052.11</v>
      </c>
      <c r="P259" s="2">
        <f t="shared" si="135"/>
        <v>1195472.3600000001</v>
      </c>
      <c r="Q259" s="2">
        <f t="shared" si="135"/>
        <v>214757.61</v>
      </c>
      <c r="R259" s="2">
        <f t="shared" si="135"/>
        <v>43819.66</v>
      </c>
      <c r="S259" s="2">
        <f t="shared" si="135"/>
        <v>695822.14</v>
      </c>
      <c r="T259" s="2">
        <f t="shared" si="135"/>
        <v>0</v>
      </c>
      <c r="U259" s="2">
        <f>U230</f>
        <v>2832.8306627999987</v>
      </c>
      <c r="V259" s="2">
        <f>V230</f>
        <v>118.26843</v>
      </c>
      <c r="W259" s="2">
        <f>ROUND(W230,2)</f>
        <v>3367.85</v>
      </c>
      <c r="X259" s="2">
        <f>ROUND(X230,2)</f>
        <v>708205.43</v>
      </c>
      <c r="Y259" s="2">
        <f>ROUND(Y230,2)</f>
        <v>430432.93</v>
      </c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>
        <f t="shared" ref="AO259:BC259" si="136">ROUND(AO230,2)</f>
        <v>0</v>
      </c>
      <c r="AP259" s="2">
        <f t="shared" si="136"/>
        <v>0</v>
      </c>
      <c r="AQ259" s="2">
        <f t="shared" si="136"/>
        <v>0</v>
      </c>
      <c r="AR259" s="2">
        <f t="shared" si="136"/>
        <v>3244690.47</v>
      </c>
      <c r="AS259" s="2">
        <f t="shared" si="136"/>
        <v>2543032.81</v>
      </c>
      <c r="AT259" s="2">
        <f t="shared" si="136"/>
        <v>683287.78</v>
      </c>
      <c r="AU259" s="2">
        <f t="shared" si="136"/>
        <v>18369.88</v>
      </c>
      <c r="AV259" s="2">
        <f t="shared" si="136"/>
        <v>1195472.3600000001</v>
      </c>
      <c r="AW259" s="2">
        <f t="shared" si="136"/>
        <v>1195472.3600000001</v>
      </c>
      <c r="AX259" s="2">
        <f t="shared" si="136"/>
        <v>0</v>
      </c>
      <c r="AY259" s="2">
        <f t="shared" si="136"/>
        <v>1195472.3600000001</v>
      </c>
      <c r="AZ259" s="2">
        <f t="shared" si="136"/>
        <v>0</v>
      </c>
      <c r="BA259" s="2">
        <f t="shared" si="136"/>
        <v>0</v>
      </c>
      <c r="BB259" s="2">
        <f t="shared" si="136"/>
        <v>0</v>
      </c>
      <c r="BC259" s="2">
        <f t="shared" si="136"/>
        <v>0</v>
      </c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>
        <v>0</v>
      </c>
    </row>
    <row r="261" spans="1:206" x14ac:dyDescent="0.2">
      <c r="A261" s="4">
        <v>50</v>
      </c>
      <c r="B261" s="4">
        <v>0</v>
      </c>
      <c r="C261" s="4">
        <v>0</v>
      </c>
      <c r="D261" s="4">
        <v>1</v>
      </c>
      <c r="E261" s="4">
        <v>201</v>
      </c>
      <c r="F261" s="4">
        <f>ROUND(Source!O259,O261)</f>
        <v>2106052.11</v>
      </c>
      <c r="G261" s="4" t="s">
        <v>130</v>
      </c>
      <c r="H261" s="4" t="s">
        <v>131</v>
      </c>
      <c r="I261" s="4"/>
      <c r="J261" s="4"/>
      <c r="K261" s="4">
        <v>201</v>
      </c>
      <c r="L261" s="4">
        <v>1</v>
      </c>
      <c r="M261" s="4">
        <v>3</v>
      </c>
      <c r="N261" s="4" t="s">
        <v>6</v>
      </c>
      <c r="O261" s="4">
        <v>2</v>
      </c>
      <c r="P261" s="4"/>
      <c r="Q261" s="4"/>
      <c r="R261" s="4"/>
      <c r="S261" s="4"/>
      <c r="T261" s="4"/>
      <c r="U261" s="4"/>
      <c r="V261" s="4"/>
      <c r="W261" s="4"/>
    </row>
    <row r="262" spans="1:206" x14ac:dyDescent="0.2">
      <c r="A262" s="4">
        <v>50</v>
      </c>
      <c r="B262" s="4">
        <v>0</v>
      </c>
      <c r="C262" s="4">
        <v>0</v>
      </c>
      <c r="D262" s="4">
        <v>1</v>
      </c>
      <c r="E262" s="4">
        <v>202</v>
      </c>
      <c r="F262" s="4">
        <f>ROUND(Source!P259,O262)</f>
        <v>1195472.3600000001</v>
      </c>
      <c r="G262" s="4" t="s">
        <v>132</v>
      </c>
      <c r="H262" s="4" t="s">
        <v>133</v>
      </c>
      <c r="I262" s="4"/>
      <c r="J262" s="4"/>
      <c r="K262" s="4">
        <v>202</v>
      </c>
      <c r="L262" s="4">
        <v>2</v>
      </c>
      <c r="M262" s="4">
        <v>3</v>
      </c>
      <c r="N262" s="4" t="s">
        <v>6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06" x14ac:dyDescent="0.2">
      <c r="A263" s="4">
        <v>50</v>
      </c>
      <c r="B263" s="4">
        <v>0</v>
      </c>
      <c r="C263" s="4">
        <v>0</v>
      </c>
      <c r="D263" s="4">
        <v>1</v>
      </c>
      <c r="E263" s="4">
        <v>222</v>
      </c>
      <c r="F263" s="4">
        <f>ROUND(Source!AO259,O263)</f>
        <v>0</v>
      </c>
      <c r="G263" s="4" t="s">
        <v>134</v>
      </c>
      <c r="H263" s="4" t="s">
        <v>135</v>
      </c>
      <c r="I263" s="4"/>
      <c r="J263" s="4"/>
      <c r="K263" s="4">
        <v>222</v>
      </c>
      <c r="L263" s="4">
        <v>3</v>
      </c>
      <c r="M263" s="4">
        <v>3</v>
      </c>
      <c r="N263" s="4" t="s">
        <v>6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06" x14ac:dyDescent="0.2">
      <c r="A264" s="4">
        <v>50</v>
      </c>
      <c r="B264" s="4">
        <v>0</v>
      </c>
      <c r="C264" s="4">
        <v>0</v>
      </c>
      <c r="D264" s="4">
        <v>1</v>
      </c>
      <c r="E264" s="4">
        <v>225</v>
      </c>
      <c r="F264" s="4">
        <f>ROUND(Source!AV259,O264)</f>
        <v>1195472.3600000001</v>
      </c>
      <c r="G264" s="4" t="s">
        <v>136</v>
      </c>
      <c r="H264" s="4" t="s">
        <v>137</v>
      </c>
      <c r="I264" s="4"/>
      <c r="J264" s="4"/>
      <c r="K264" s="4">
        <v>225</v>
      </c>
      <c r="L264" s="4">
        <v>4</v>
      </c>
      <c r="M264" s="4">
        <v>3</v>
      </c>
      <c r="N264" s="4" t="s">
        <v>6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06" x14ac:dyDescent="0.2">
      <c r="A265" s="4">
        <v>50</v>
      </c>
      <c r="B265" s="4">
        <v>0</v>
      </c>
      <c r="C265" s="4">
        <v>0</v>
      </c>
      <c r="D265" s="4">
        <v>1</v>
      </c>
      <c r="E265" s="4">
        <v>226</v>
      </c>
      <c r="F265" s="4">
        <f>ROUND(Source!AW259,O265)</f>
        <v>1195472.3600000001</v>
      </c>
      <c r="G265" s="4" t="s">
        <v>138</v>
      </c>
      <c r="H265" s="4" t="s">
        <v>139</v>
      </c>
      <c r="I265" s="4"/>
      <c r="J265" s="4"/>
      <c r="K265" s="4">
        <v>226</v>
      </c>
      <c r="L265" s="4">
        <v>5</v>
      </c>
      <c r="M265" s="4">
        <v>3</v>
      </c>
      <c r="N265" s="4" t="s">
        <v>6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06" x14ac:dyDescent="0.2">
      <c r="A266" s="4">
        <v>50</v>
      </c>
      <c r="B266" s="4">
        <v>0</v>
      </c>
      <c r="C266" s="4">
        <v>0</v>
      </c>
      <c r="D266" s="4">
        <v>1</v>
      </c>
      <c r="E266" s="4">
        <v>227</v>
      </c>
      <c r="F266" s="4">
        <f>ROUND(Source!AX259,O266)</f>
        <v>0</v>
      </c>
      <c r="G266" s="4" t="s">
        <v>140</v>
      </c>
      <c r="H266" s="4" t="s">
        <v>141</v>
      </c>
      <c r="I266" s="4"/>
      <c r="J266" s="4"/>
      <c r="K266" s="4">
        <v>227</v>
      </c>
      <c r="L266" s="4">
        <v>6</v>
      </c>
      <c r="M266" s="4">
        <v>3</v>
      </c>
      <c r="N266" s="4" t="s">
        <v>6</v>
      </c>
      <c r="O266" s="4">
        <v>2</v>
      </c>
      <c r="P266" s="4"/>
      <c r="Q266" s="4"/>
      <c r="R266" s="4"/>
      <c r="S266" s="4"/>
      <c r="T266" s="4"/>
      <c r="U266" s="4"/>
      <c r="V266" s="4"/>
      <c r="W266" s="4"/>
    </row>
    <row r="267" spans="1:206" x14ac:dyDescent="0.2">
      <c r="A267" s="4">
        <v>50</v>
      </c>
      <c r="B267" s="4">
        <v>0</v>
      </c>
      <c r="C267" s="4">
        <v>0</v>
      </c>
      <c r="D267" s="4">
        <v>1</v>
      </c>
      <c r="E267" s="4">
        <v>228</v>
      </c>
      <c r="F267" s="4">
        <f>ROUND(Source!AY259,O267)</f>
        <v>1195472.3600000001</v>
      </c>
      <c r="G267" s="4" t="s">
        <v>142</v>
      </c>
      <c r="H267" s="4" t="s">
        <v>143</v>
      </c>
      <c r="I267" s="4"/>
      <c r="J267" s="4"/>
      <c r="K267" s="4">
        <v>228</v>
      </c>
      <c r="L267" s="4">
        <v>7</v>
      </c>
      <c r="M267" s="4">
        <v>3</v>
      </c>
      <c r="N267" s="4" t="s">
        <v>6</v>
      </c>
      <c r="O267" s="4">
        <v>2</v>
      </c>
      <c r="P267" s="4"/>
      <c r="Q267" s="4"/>
      <c r="R267" s="4"/>
      <c r="S267" s="4"/>
      <c r="T267" s="4"/>
      <c r="U267" s="4"/>
      <c r="V267" s="4"/>
      <c r="W267" s="4"/>
    </row>
    <row r="268" spans="1:206" x14ac:dyDescent="0.2">
      <c r="A268" s="4">
        <v>50</v>
      </c>
      <c r="B268" s="4">
        <v>0</v>
      </c>
      <c r="C268" s="4">
        <v>0</v>
      </c>
      <c r="D268" s="4">
        <v>1</v>
      </c>
      <c r="E268" s="4">
        <v>216</v>
      </c>
      <c r="F268" s="4">
        <f>ROUND(Source!AP259,O268)</f>
        <v>0</v>
      </c>
      <c r="G268" s="4" t="s">
        <v>144</v>
      </c>
      <c r="H268" s="4" t="s">
        <v>145</v>
      </c>
      <c r="I268" s="4"/>
      <c r="J268" s="4"/>
      <c r="K268" s="4">
        <v>216</v>
      </c>
      <c r="L268" s="4">
        <v>8</v>
      </c>
      <c r="M268" s="4">
        <v>3</v>
      </c>
      <c r="N268" s="4" t="s">
        <v>6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06" x14ac:dyDescent="0.2">
      <c r="A269" s="4">
        <v>50</v>
      </c>
      <c r="B269" s="4">
        <v>0</v>
      </c>
      <c r="C269" s="4">
        <v>0</v>
      </c>
      <c r="D269" s="4">
        <v>1</v>
      </c>
      <c r="E269" s="4">
        <v>223</v>
      </c>
      <c r="F269" s="4">
        <f>ROUND(Source!AQ259,O269)</f>
        <v>0</v>
      </c>
      <c r="G269" s="4" t="s">
        <v>146</v>
      </c>
      <c r="H269" s="4" t="s">
        <v>147</v>
      </c>
      <c r="I269" s="4"/>
      <c r="J269" s="4"/>
      <c r="K269" s="4">
        <v>223</v>
      </c>
      <c r="L269" s="4">
        <v>9</v>
      </c>
      <c r="M269" s="4">
        <v>3</v>
      </c>
      <c r="N269" s="4" t="s">
        <v>6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06" x14ac:dyDescent="0.2">
      <c r="A270" s="4">
        <v>50</v>
      </c>
      <c r="B270" s="4">
        <v>0</v>
      </c>
      <c r="C270" s="4">
        <v>0</v>
      </c>
      <c r="D270" s="4">
        <v>1</v>
      </c>
      <c r="E270" s="4">
        <v>229</v>
      </c>
      <c r="F270" s="4">
        <f>ROUND(Source!AZ259,O270)</f>
        <v>0</v>
      </c>
      <c r="G270" s="4" t="s">
        <v>148</v>
      </c>
      <c r="H270" s="4" t="s">
        <v>149</v>
      </c>
      <c r="I270" s="4"/>
      <c r="J270" s="4"/>
      <c r="K270" s="4">
        <v>229</v>
      </c>
      <c r="L270" s="4">
        <v>10</v>
      </c>
      <c r="M270" s="4">
        <v>3</v>
      </c>
      <c r="N270" s="4" t="s">
        <v>6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06" x14ac:dyDescent="0.2">
      <c r="A271" s="4">
        <v>50</v>
      </c>
      <c r="B271" s="4">
        <v>0</v>
      </c>
      <c r="C271" s="4">
        <v>0</v>
      </c>
      <c r="D271" s="4">
        <v>1</v>
      </c>
      <c r="E271" s="4">
        <v>203</v>
      </c>
      <c r="F271" s="4">
        <f>ROUND(Source!Q259,O271)</f>
        <v>214757.61</v>
      </c>
      <c r="G271" s="4" t="s">
        <v>150</v>
      </c>
      <c r="H271" s="4" t="s">
        <v>151</v>
      </c>
      <c r="I271" s="4"/>
      <c r="J271" s="4"/>
      <c r="K271" s="4">
        <v>203</v>
      </c>
      <c r="L271" s="4">
        <v>11</v>
      </c>
      <c r="M271" s="4">
        <v>3</v>
      </c>
      <c r="N271" s="4" t="s">
        <v>6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06" x14ac:dyDescent="0.2">
      <c r="A272" s="4">
        <v>50</v>
      </c>
      <c r="B272" s="4">
        <v>0</v>
      </c>
      <c r="C272" s="4">
        <v>0</v>
      </c>
      <c r="D272" s="4">
        <v>1</v>
      </c>
      <c r="E272" s="4">
        <v>231</v>
      </c>
      <c r="F272" s="4">
        <f>ROUND(Source!BB259,O272)</f>
        <v>0</v>
      </c>
      <c r="G272" s="4" t="s">
        <v>152</v>
      </c>
      <c r="H272" s="4" t="s">
        <v>153</v>
      </c>
      <c r="I272" s="4"/>
      <c r="J272" s="4"/>
      <c r="K272" s="4">
        <v>231</v>
      </c>
      <c r="L272" s="4">
        <v>12</v>
      </c>
      <c r="M272" s="4">
        <v>3</v>
      </c>
      <c r="N272" s="4" t="s">
        <v>6</v>
      </c>
      <c r="O272" s="4">
        <v>2</v>
      </c>
      <c r="P272" s="4"/>
      <c r="Q272" s="4"/>
      <c r="R272" s="4"/>
      <c r="S272" s="4"/>
      <c r="T272" s="4"/>
      <c r="U272" s="4"/>
      <c r="V272" s="4"/>
      <c r="W272" s="4"/>
    </row>
    <row r="273" spans="1:23" x14ac:dyDescent="0.2">
      <c r="A273" s="4">
        <v>50</v>
      </c>
      <c r="B273" s="4">
        <v>0</v>
      </c>
      <c r="C273" s="4">
        <v>0</v>
      </c>
      <c r="D273" s="4">
        <v>1</v>
      </c>
      <c r="E273" s="4">
        <v>204</v>
      </c>
      <c r="F273" s="4">
        <f>ROUND(Source!R259,O273)</f>
        <v>43819.66</v>
      </c>
      <c r="G273" s="4" t="s">
        <v>154</v>
      </c>
      <c r="H273" s="4" t="s">
        <v>155</v>
      </c>
      <c r="I273" s="4"/>
      <c r="J273" s="4"/>
      <c r="K273" s="4">
        <v>204</v>
      </c>
      <c r="L273" s="4">
        <v>13</v>
      </c>
      <c r="M273" s="4">
        <v>3</v>
      </c>
      <c r="N273" s="4" t="s">
        <v>6</v>
      </c>
      <c r="O273" s="4">
        <v>2</v>
      </c>
      <c r="P273" s="4"/>
      <c r="Q273" s="4"/>
      <c r="R273" s="4"/>
      <c r="S273" s="4"/>
      <c r="T273" s="4"/>
      <c r="U273" s="4"/>
      <c r="V273" s="4"/>
      <c r="W273" s="4"/>
    </row>
    <row r="274" spans="1:23" x14ac:dyDescent="0.2">
      <c r="A274" s="4">
        <v>50</v>
      </c>
      <c r="B274" s="4">
        <v>0</v>
      </c>
      <c r="C274" s="4">
        <v>0</v>
      </c>
      <c r="D274" s="4">
        <v>1</v>
      </c>
      <c r="E274" s="4">
        <v>205</v>
      </c>
      <c r="F274" s="4">
        <f>ROUND(Source!S259,O274)</f>
        <v>695822.14</v>
      </c>
      <c r="G274" s="4" t="s">
        <v>156</v>
      </c>
      <c r="H274" s="4" t="s">
        <v>157</v>
      </c>
      <c r="I274" s="4"/>
      <c r="J274" s="4"/>
      <c r="K274" s="4">
        <v>205</v>
      </c>
      <c r="L274" s="4">
        <v>14</v>
      </c>
      <c r="M274" s="4">
        <v>3</v>
      </c>
      <c r="N274" s="4" t="s">
        <v>6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23" x14ac:dyDescent="0.2">
      <c r="A275" s="4">
        <v>50</v>
      </c>
      <c r="B275" s="4">
        <v>0</v>
      </c>
      <c r="C275" s="4">
        <v>0</v>
      </c>
      <c r="D275" s="4">
        <v>1</v>
      </c>
      <c r="E275" s="4">
        <v>232</v>
      </c>
      <c r="F275" s="4">
        <f>ROUND(Source!BC259,O275)</f>
        <v>0</v>
      </c>
      <c r="G275" s="4" t="s">
        <v>158</v>
      </c>
      <c r="H275" s="4" t="s">
        <v>159</v>
      </c>
      <c r="I275" s="4"/>
      <c r="J275" s="4"/>
      <c r="K275" s="4">
        <v>232</v>
      </c>
      <c r="L275" s="4">
        <v>15</v>
      </c>
      <c r="M275" s="4">
        <v>3</v>
      </c>
      <c r="N275" s="4" t="s">
        <v>6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23" x14ac:dyDescent="0.2">
      <c r="A276" s="4">
        <v>50</v>
      </c>
      <c r="B276" s="4">
        <v>0</v>
      </c>
      <c r="C276" s="4">
        <v>0</v>
      </c>
      <c r="D276" s="4">
        <v>1</v>
      </c>
      <c r="E276" s="4">
        <v>214</v>
      </c>
      <c r="F276" s="4">
        <f>ROUND(Source!AS259,O276)</f>
        <v>2543032.81</v>
      </c>
      <c r="G276" s="4" t="s">
        <v>160</v>
      </c>
      <c r="H276" s="4" t="s">
        <v>161</v>
      </c>
      <c r="I276" s="4"/>
      <c r="J276" s="4"/>
      <c r="K276" s="4">
        <v>214</v>
      </c>
      <c r="L276" s="4">
        <v>16</v>
      </c>
      <c r="M276" s="4">
        <v>3</v>
      </c>
      <c r="N276" s="4" t="s">
        <v>6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23" x14ac:dyDescent="0.2">
      <c r="A277" s="4">
        <v>50</v>
      </c>
      <c r="B277" s="4">
        <v>0</v>
      </c>
      <c r="C277" s="4">
        <v>0</v>
      </c>
      <c r="D277" s="4">
        <v>1</v>
      </c>
      <c r="E277" s="4">
        <v>215</v>
      </c>
      <c r="F277" s="4">
        <f>ROUND(Source!AT259,O277)</f>
        <v>683287.78</v>
      </c>
      <c r="G277" s="4" t="s">
        <v>162</v>
      </c>
      <c r="H277" s="4" t="s">
        <v>163</v>
      </c>
      <c r="I277" s="4"/>
      <c r="J277" s="4"/>
      <c r="K277" s="4">
        <v>215</v>
      </c>
      <c r="L277" s="4">
        <v>17</v>
      </c>
      <c r="M277" s="4">
        <v>3</v>
      </c>
      <c r="N277" s="4" t="s">
        <v>6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23" x14ac:dyDescent="0.2">
      <c r="A278" s="4">
        <v>50</v>
      </c>
      <c r="B278" s="4">
        <v>0</v>
      </c>
      <c r="C278" s="4">
        <v>0</v>
      </c>
      <c r="D278" s="4">
        <v>1</v>
      </c>
      <c r="E278" s="4">
        <v>217</v>
      </c>
      <c r="F278" s="4">
        <f>ROUND(Source!AU259,O278)</f>
        <v>18369.88</v>
      </c>
      <c r="G278" s="4" t="s">
        <v>164</v>
      </c>
      <c r="H278" s="4" t="s">
        <v>165</v>
      </c>
      <c r="I278" s="4"/>
      <c r="J278" s="4"/>
      <c r="K278" s="4">
        <v>217</v>
      </c>
      <c r="L278" s="4">
        <v>18</v>
      </c>
      <c r="M278" s="4">
        <v>3</v>
      </c>
      <c r="N278" s="4" t="s">
        <v>6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3" x14ac:dyDescent="0.2">
      <c r="A279" s="4">
        <v>50</v>
      </c>
      <c r="B279" s="4">
        <v>0</v>
      </c>
      <c r="C279" s="4">
        <v>0</v>
      </c>
      <c r="D279" s="4">
        <v>1</v>
      </c>
      <c r="E279" s="4">
        <v>230</v>
      </c>
      <c r="F279" s="4">
        <f>ROUND(Source!BA259,O279)</f>
        <v>0</v>
      </c>
      <c r="G279" s="4" t="s">
        <v>166</v>
      </c>
      <c r="H279" s="4" t="s">
        <v>167</v>
      </c>
      <c r="I279" s="4"/>
      <c r="J279" s="4"/>
      <c r="K279" s="4">
        <v>230</v>
      </c>
      <c r="L279" s="4">
        <v>19</v>
      </c>
      <c r="M279" s="4">
        <v>3</v>
      </c>
      <c r="N279" s="4" t="s">
        <v>6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3" x14ac:dyDescent="0.2">
      <c r="A280" s="4">
        <v>50</v>
      </c>
      <c r="B280" s="4">
        <v>0</v>
      </c>
      <c r="C280" s="4">
        <v>0</v>
      </c>
      <c r="D280" s="4">
        <v>1</v>
      </c>
      <c r="E280" s="4">
        <v>206</v>
      </c>
      <c r="F280" s="4">
        <f>ROUND(Source!T259,O280)</f>
        <v>0</v>
      </c>
      <c r="G280" s="4" t="s">
        <v>168</v>
      </c>
      <c r="H280" s="4" t="s">
        <v>169</v>
      </c>
      <c r="I280" s="4"/>
      <c r="J280" s="4"/>
      <c r="K280" s="4">
        <v>206</v>
      </c>
      <c r="L280" s="4">
        <v>20</v>
      </c>
      <c r="M280" s="4">
        <v>3</v>
      </c>
      <c r="N280" s="4" t="s">
        <v>6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3" x14ac:dyDescent="0.2">
      <c r="A281" s="4">
        <v>50</v>
      </c>
      <c r="B281" s="4">
        <v>0</v>
      </c>
      <c r="C281" s="4">
        <v>0</v>
      </c>
      <c r="D281" s="4">
        <v>1</v>
      </c>
      <c r="E281" s="4">
        <v>207</v>
      </c>
      <c r="F281" s="4">
        <f>Source!U259</f>
        <v>2832.8306627999987</v>
      </c>
      <c r="G281" s="4" t="s">
        <v>170</v>
      </c>
      <c r="H281" s="4" t="s">
        <v>171</v>
      </c>
      <c r="I281" s="4"/>
      <c r="J281" s="4"/>
      <c r="K281" s="4">
        <v>207</v>
      </c>
      <c r="L281" s="4">
        <v>21</v>
      </c>
      <c r="M281" s="4">
        <v>3</v>
      </c>
      <c r="N281" s="4" t="s">
        <v>6</v>
      </c>
      <c r="O281" s="4">
        <v>-1</v>
      </c>
      <c r="P281" s="4"/>
      <c r="Q281" s="4"/>
      <c r="R281" s="4"/>
      <c r="S281" s="4"/>
      <c r="T281" s="4"/>
      <c r="U281" s="4"/>
      <c r="V281" s="4"/>
      <c r="W281" s="4"/>
    </row>
    <row r="282" spans="1:23" x14ac:dyDescent="0.2">
      <c r="A282" s="4">
        <v>50</v>
      </c>
      <c r="B282" s="4">
        <v>0</v>
      </c>
      <c r="C282" s="4">
        <v>0</v>
      </c>
      <c r="D282" s="4">
        <v>1</v>
      </c>
      <c r="E282" s="4">
        <v>208</v>
      </c>
      <c r="F282" s="4">
        <f>Source!V259</f>
        <v>118.26843</v>
      </c>
      <c r="G282" s="4" t="s">
        <v>172</v>
      </c>
      <c r="H282" s="4" t="s">
        <v>173</v>
      </c>
      <c r="I282" s="4"/>
      <c r="J282" s="4"/>
      <c r="K282" s="4">
        <v>208</v>
      </c>
      <c r="L282" s="4">
        <v>22</v>
      </c>
      <c r="M282" s="4">
        <v>3</v>
      </c>
      <c r="N282" s="4" t="s">
        <v>6</v>
      </c>
      <c r="O282" s="4">
        <v>-1</v>
      </c>
      <c r="P282" s="4"/>
      <c r="Q282" s="4"/>
      <c r="R282" s="4"/>
      <c r="S282" s="4"/>
      <c r="T282" s="4"/>
      <c r="U282" s="4"/>
      <c r="V282" s="4"/>
      <c r="W282" s="4"/>
    </row>
    <row r="283" spans="1:23" x14ac:dyDescent="0.2">
      <c r="A283" s="4">
        <v>50</v>
      </c>
      <c r="B283" s="4">
        <v>0</v>
      </c>
      <c r="C283" s="4">
        <v>0</v>
      </c>
      <c r="D283" s="4">
        <v>1</v>
      </c>
      <c r="E283" s="4">
        <v>209</v>
      </c>
      <c r="F283" s="4">
        <f>ROUND(Source!W259,O283)</f>
        <v>3367.85</v>
      </c>
      <c r="G283" s="4" t="s">
        <v>174</v>
      </c>
      <c r="H283" s="4" t="s">
        <v>175</v>
      </c>
      <c r="I283" s="4"/>
      <c r="J283" s="4"/>
      <c r="K283" s="4">
        <v>209</v>
      </c>
      <c r="L283" s="4">
        <v>23</v>
      </c>
      <c r="M283" s="4">
        <v>3</v>
      </c>
      <c r="N283" s="4" t="s">
        <v>6</v>
      </c>
      <c r="O283" s="4">
        <v>2</v>
      </c>
      <c r="P283" s="4"/>
      <c r="Q283" s="4"/>
      <c r="R283" s="4"/>
      <c r="S283" s="4"/>
      <c r="T283" s="4"/>
      <c r="U283" s="4"/>
      <c r="V283" s="4"/>
      <c r="W283" s="4"/>
    </row>
    <row r="284" spans="1:23" x14ac:dyDescent="0.2">
      <c r="A284" s="4">
        <v>50</v>
      </c>
      <c r="B284" s="4">
        <v>0</v>
      </c>
      <c r="C284" s="4">
        <v>0</v>
      </c>
      <c r="D284" s="4">
        <v>1</v>
      </c>
      <c r="E284" s="4">
        <v>210</v>
      </c>
      <c r="F284" s="4">
        <f>ROUND(Source!X259,O284)</f>
        <v>708205.43</v>
      </c>
      <c r="G284" s="4" t="s">
        <v>176</v>
      </c>
      <c r="H284" s="4" t="s">
        <v>177</v>
      </c>
      <c r="I284" s="4"/>
      <c r="J284" s="4"/>
      <c r="K284" s="4">
        <v>210</v>
      </c>
      <c r="L284" s="4">
        <v>24</v>
      </c>
      <c r="M284" s="4">
        <v>3</v>
      </c>
      <c r="N284" s="4" t="s">
        <v>6</v>
      </c>
      <c r="O284" s="4">
        <v>2</v>
      </c>
      <c r="P284" s="4"/>
      <c r="Q284" s="4"/>
      <c r="R284" s="4"/>
      <c r="S284" s="4"/>
      <c r="T284" s="4"/>
      <c r="U284" s="4"/>
      <c r="V284" s="4"/>
      <c r="W284" s="4"/>
    </row>
    <row r="285" spans="1:23" x14ac:dyDescent="0.2">
      <c r="A285" s="4">
        <v>50</v>
      </c>
      <c r="B285" s="4">
        <v>0</v>
      </c>
      <c r="C285" s="4">
        <v>0</v>
      </c>
      <c r="D285" s="4">
        <v>1</v>
      </c>
      <c r="E285" s="4">
        <v>211</v>
      </c>
      <c r="F285" s="4">
        <f>ROUND(Source!Y259,O285)</f>
        <v>430432.93</v>
      </c>
      <c r="G285" s="4" t="s">
        <v>178</v>
      </c>
      <c r="H285" s="4" t="s">
        <v>179</v>
      </c>
      <c r="I285" s="4"/>
      <c r="J285" s="4"/>
      <c r="K285" s="4">
        <v>211</v>
      </c>
      <c r="L285" s="4">
        <v>25</v>
      </c>
      <c r="M285" s="4">
        <v>3</v>
      </c>
      <c r="N285" s="4" t="s">
        <v>6</v>
      </c>
      <c r="O285" s="4">
        <v>2</v>
      </c>
      <c r="P285" s="4"/>
      <c r="Q285" s="4"/>
      <c r="R285" s="4"/>
      <c r="S285" s="4"/>
      <c r="T285" s="4"/>
      <c r="U285" s="4"/>
      <c r="V285" s="4"/>
      <c r="W285" s="4"/>
    </row>
    <row r="286" spans="1:23" x14ac:dyDescent="0.2">
      <c r="A286" s="4">
        <v>50</v>
      </c>
      <c r="B286" s="4">
        <v>0</v>
      </c>
      <c r="C286" s="4">
        <v>0</v>
      </c>
      <c r="D286" s="4">
        <v>1</v>
      </c>
      <c r="E286" s="4">
        <v>224</v>
      </c>
      <c r="F286" s="4">
        <f>ROUND(Source!AR259,O286)</f>
        <v>3244690.47</v>
      </c>
      <c r="G286" s="4" t="s">
        <v>180</v>
      </c>
      <c r="H286" s="4" t="s">
        <v>181</v>
      </c>
      <c r="I286" s="4"/>
      <c r="J286" s="4"/>
      <c r="K286" s="4">
        <v>224</v>
      </c>
      <c r="L286" s="4">
        <v>26</v>
      </c>
      <c r="M286" s="4">
        <v>3</v>
      </c>
      <c r="N286" s="4" t="s">
        <v>6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3" x14ac:dyDescent="0.2">
      <c r="A287" s="4">
        <v>50</v>
      </c>
      <c r="B287" s="4">
        <v>1</v>
      </c>
      <c r="C287" s="4">
        <v>0</v>
      </c>
      <c r="D287" s="4">
        <v>2</v>
      </c>
      <c r="E287" s="4">
        <v>0</v>
      </c>
      <c r="F287" s="4">
        <f>ROUND(F190,O287)</f>
        <v>785200</v>
      </c>
      <c r="G287" s="4" t="s">
        <v>4</v>
      </c>
      <c r="H287" s="4" t="s">
        <v>266</v>
      </c>
      <c r="I287" s="4"/>
      <c r="J287" s="4"/>
      <c r="K287" s="4">
        <v>212</v>
      </c>
      <c r="L287" s="4">
        <v>27</v>
      </c>
      <c r="M287" s="4">
        <v>0</v>
      </c>
      <c r="N287" s="4" t="s">
        <v>6</v>
      </c>
      <c r="O287" s="4">
        <v>2</v>
      </c>
      <c r="P287" s="4"/>
      <c r="Q287" s="4"/>
      <c r="R287" s="4"/>
      <c r="S287" s="4"/>
      <c r="T287" s="4"/>
      <c r="U287" s="4"/>
      <c r="V287" s="4"/>
      <c r="W287" s="4"/>
    </row>
    <row r="288" spans="1:23" x14ac:dyDescent="0.2">
      <c r="A288" s="4">
        <v>50</v>
      </c>
      <c r="B288" s="4">
        <v>1</v>
      </c>
      <c r="C288" s="4">
        <v>0</v>
      </c>
      <c r="D288" s="4">
        <v>2</v>
      </c>
      <c r="E288" s="4">
        <v>0</v>
      </c>
      <c r="F288" s="4">
        <f>ROUND(F286+F227-F287,O288)</f>
        <v>2460380.09</v>
      </c>
      <c r="G288" s="4" t="s">
        <v>280</v>
      </c>
      <c r="H288" s="4" t="s">
        <v>281</v>
      </c>
      <c r="I288" s="4"/>
      <c r="J288" s="4"/>
      <c r="K288" s="4">
        <v>212</v>
      </c>
      <c r="L288" s="4">
        <v>29</v>
      </c>
      <c r="M288" s="4">
        <v>0</v>
      </c>
      <c r="N288" s="4" t="s">
        <v>6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3" x14ac:dyDescent="0.2">
      <c r="A289" s="4">
        <v>50</v>
      </c>
      <c r="B289" s="4">
        <v>1</v>
      </c>
      <c r="C289" s="4">
        <v>0</v>
      </c>
      <c r="D289" s="4">
        <v>2</v>
      </c>
      <c r="E289" s="4">
        <v>0</v>
      </c>
      <c r="F289" s="4">
        <f>ROUND(F155*0.015,O289)</f>
        <v>275.55</v>
      </c>
      <c r="G289" s="4" t="s">
        <v>61</v>
      </c>
      <c r="H289" s="4" t="s">
        <v>282</v>
      </c>
      <c r="I289" s="4"/>
      <c r="J289" s="4"/>
      <c r="K289" s="4">
        <v>212</v>
      </c>
      <c r="L289" s="4">
        <v>30</v>
      </c>
      <c r="M289" s="4">
        <v>0</v>
      </c>
      <c r="N289" s="4" t="s">
        <v>6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0" spans="1:23" x14ac:dyDescent="0.2">
      <c r="A290" s="4">
        <v>50</v>
      </c>
      <c r="B290" s="4">
        <v>1</v>
      </c>
      <c r="C290" s="4">
        <v>0</v>
      </c>
      <c r="D290" s="4">
        <v>2</v>
      </c>
      <c r="E290" s="4">
        <v>0</v>
      </c>
      <c r="F290" s="4">
        <f>ROUND(F288*0.006,O290)</f>
        <v>14762.28</v>
      </c>
      <c r="G290" s="4" t="s">
        <v>40</v>
      </c>
      <c r="H290" s="4" t="s">
        <v>283</v>
      </c>
      <c r="I290" s="4"/>
      <c r="J290" s="4"/>
      <c r="K290" s="4">
        <v>212</v>
      </c>
      <c r="L290" s="4">
        <v>31</v>
      </c>
      <c r="M290" s="4">
        <v>0</v>
      </c>
      <c r="N290" s="4" t="s">
        <v>6</v>
      </c>
      <c r="O290" s="4">
        <v>2</v>
      </c>
      <c r="P290" s="4"/>
      <c r="Q290" s="4"/>
      <c r="R290" s="4"/>
      <c r="S290" s="4"/>
      <c r="T290" s="4"/>
      <c r="U290" s="4"/>
      <c r="V290" s="4"/>
      <c r="W290" s="4"/>
    </row>
    <row r="291" spans="1:23" x14ac:dyDescent="0.2">
      <c r="A291" s="4">
        <v>50</v>
      </c>
      <c r="B291" s="4">
        <v>1</v>
      </c>
      <c r="C291" s="4">
        <v>0</v>
      </c>
      <c r="D291" s="4">
        <v>2</v>
      </c>
      <c r="E291" s="4">
        <v>0</v>
      </c>
      <c r="F291" s="4">
        <f>ROUND(F288+F289+F290,O291)</f>
        <v>2475417.92</v>
      </c>
      <c r="G291" s="4" t="s">
        <v>117</v>
      </c>
      <c r="H291" s="4" t="s">
        <v>284</v>
      </c>
      <c r="I291" s="4"/>
      <c r="J291" s="4"/>
      <c r="K291" s="4">
        <v>212</v>
      </c>
      <c r="L291" s="4">
        <v>36</v>
      </c>
      <c r="M291" s="4">
        <v>0</v>
      </c>
      <c r="N291" s="4" t="s">
        <v>6</v>
      </c>
      <c r="O291" s="4">
        <v>2</v>
      </c>
      <c r="P291" s="4"/>
      <c r="Q291" s="4"/>
      <c r="R291" s="4"/>
      <c r="S291" s="4"/>
      <c r="T291" s="4"/>
      <c r="U291" s="4"/>
      <c r="V291" s="4"/>
      <c r="W291" s="4"/>
    </row>
    <row r="292" spans="1:23" x14ac:dyDescent="0.2">
      <c r="A292" s="4">
        <v>50</v>
      </c>
      <c r="B292" s="4">
        <v>1</v>
      </c>
      <c r="C292" s="4">
        <v>0</v>
      </c>
      <c r="D292" s="4">
        <v>2</v>
      </c>
      <c r="E292" s="4">
        <v>0</v>
      </c>
      <c r="F292" s="4">
        <f>ROUND(F291*0.2,O292)</f>
        <v>495083.58</v>
      </c>
      <c r="G292" s="4" t="s">
        <v>121</v>
      </c>
      <c r="H292" s="4" t="s">
        <v>285</v>
      </c>
      <c r="I292" s="4"/>
      <c r="J292" s="4"/>
      <c r="K292" s="4">
        <v>212</v>
      </c>
      <c r="L292" s="4">
        <v>37</v>
      </c>
      <c r="M292" s="4">
        <v>0</v>
      </c>
      <c r="N292" s="4" t="s">
        <v>6</v>
      </c>
      <c r="O292" s="4">
        <v>2</v>
      </c>
      <c r="P292" s="4"/>
      <c r="Q292" s="4"/>
      <c r="R292" s="4"/>
      <c r="S292" s="4"/>
      <c r="T292" s="4"/>
      <c r="U292" s="4"/>
      <c r="V292" s="4"/>
      <c r="W292" s="4"/>
    </row>
    <row r="293" spans="1:23" x14ac:dyDescent="0.2">
      <c r="A293" s="4">
        <v>50</v>
      </c>
      <c r="B293" s="4">
        <v>1</v>
      </c>
      <c r="C293" s="4">
        <v>0</v>
      </c>
      <c r="D293" s="4">
        <v>2</v>
      </c>
      <c r="E293" s="4">
        <v>0</v>
      </c>
      <c r="F293" s="4">
        <f>ROUND(F291+F292,O293)</f>
        <v>2970501.5</v>
      </c>
      <c r="G293" s="4" t="s">
        <v>183</v>
      </c>
      <c r="H293" s="4" t="s">
        <v>286</v>
      </c>
      <c r="I293" s="4"/>
      <c r="J293" s="4"/>
      <c r="K293" s="4">
        <v>212</v>
      </c>
      <c r="L293" s="4">
        <v>38</v>
      </c>
      <c r="M293" s="4">
        <v>0</v>
      </c>
      <c r="N293" s="4" t="s">
        <v>6</v>
      </c>
      <c r="O293" s="4">
        <v>2</v>
      </c>
      <c r="P293" s="4"/>
      <c r="Q293" s="4"/>
      <c r="R293" s="4"/>
      <c r="S293" s="4"/>
      <c r="T293" s="4"/>
      <c r="U293" s="4"/>
      <c r="V293" s="4"/>
      <c r="W293" s="4"/>
    </row>
    <row r="296" spans="1:23" x14ac:dyDescent="0.2">
      <c r="A296">
        <v>70</v>
      </c>
      <c r="B296">
        <v>1</v>
      </c>
      <c r="D296">
        <v>1</v>
      </c>
      <c r="E296" t="s">
        <v>287</v>
      </c>
      <c r="F296" t="s">
        <v>288</v>
      </c>
      <c r="G296">
        <v>0</v>
      </c>
      <c r="H296">
        <v>0</v>
      </c>
      <c r="I296" t="s">
        <v>6</v>
      </c>
      <c r="J296">
        <v>1</v>
      </c>
      <c r="K296">
        <v>0</v>
      </c>
      <c r="L296" t="s">
        <v>6</v>
      </c>
      <c r="M296" t="s">
        <v>6</v>
      </c>
      <c r="N296">
        <v>0</v>
      </c>
    </row>
    <row r="297" spans="1:23" x14ac:dyDescent="0.2">
      <c r="A297">
        <v>70</v>
      </c>
      <c r="B297">
        <v>1</v>
      </c>
      <c r="D297">
        <v>2</v>
      </c>
      <c r="E297" t="s">
        <v>289</v>
      </c>
      <c r="F297" t="s">
        <v>290</v>
      </c>
      <c r="G297">
        <v>0</v>
      </c>
      <c r="H297">
        <v>0</v>
      </c>
      <c r="I297" t="s">
        <v>6</v>
      </c>
      <c r="J297">
        <v>1</v>
      </c>
      <c r="K297">
        <v>0</v>
      </c>
      <c r="L297" t="s">
        <v>6</v>
      </c>
      <c r="M297" t="s">
        <v>6</v>
      </c>
      <c r="N297">
        <v>0</v>
      </c>
    </row>
    <row r="298" spans="1:23" x14ac:dyDescent="0.2">
      <c r="A298">
        <v>70</v>
      </c>
      <c r="B298">
        <v>1</v>
      </c>
      <c r="D298">
        <v>3</v>
      </c>
      <c r="E298" t="s">
        <v>291</v>
      </c>
      <c r="F298" t="s">
        <v>292</v>
      </c>
      <c r="G298">
        <v>1</v>
      </c>
      <c r="H298">
        <v>0</v>
      </c>
      <c r="I298" t="s">
        <v>6</v>
      </c>
      <c r="J298">
        <v>1</v>
      </c>
      <c r="K298">
        <v>0</v>
      </c>
      <c r="L298" t="s">
        <v>6</v>
      </c>
      <c r="M298" t="s">
        <v>6</v>
      </c>
      <c r="N298">
        <v>0</v>
      </c>
    </row>
    <row r="299" spans="1:23" x14ac:dyDescent="0.2">
      <c r="A299">
        <v>70</v>
      </c>
      <c r="B299">
        <v>1</v>
      </c>
      <c r="D299">
        <v>4</v>
      </c>
      <c r="E299" t="s">
        <v>293</v>
      </c>
      <c r="F299" t="s">
        <v>294</v>
      </c>
      <c r="G299">
        <v>0</v>
      </c>
      <c r="H299">
        <v>0</v>
      </c>
      <c r="I299" t="s">
        <v>295</v>
      </c>
      <c r="J299">
        <v>0</v>
      </c>
      <c r="K299">
        <v>0</v>
      </c>
      <c r="L299" t="s">
        <v>6</v>
      </c>
      <c r="M299" t="s">
        <v>6</v>
      </c>
      <c r="N299">
        <v>0</v>
      </c>
    </row>
    <row r="300" spans="1:23" x14ac:dyDescent="0.2">
      <c r="A300">
        <v>70</v>
      </c>
      <c r="B300">
        <v>1</v>
      </c>
      <c r="D300">
        <v>5</v>
      </c>
      <c r="E300" t="s">
        <v>296</v>
      </c>
      <c r="F300" t="s">
        <v>297</v>
      </c>
      <c r="G300">
        <v>0</v>
      </c>
      <c r="H300">
        <v>0</v>
      </c>
      <c r="I300" t="s">
        <v>298</v>
      </c>
      <c r="J300">
        <v>0</v>
      </c>
      <c r="K300">
        <v>0</v>
      </c>
      <c r="L300" t="s">
        <v>6</v>
      </c>
      <c r="M300" t="s">
        <v>6</v>
      </c>
      <c r="N300">
        <v>0</v>
      </c>
    </row>
    <row r="301" spans="1:23" x14ac:dyDescent="0.2">
      <c r="A301">
        <v>70</v>
      </c>
      <c r="B301">
        <v>1</v>
      </c>
      <c r="D301">
        <v>6</v>
      </c>
      <c r="E301" t="s">
        <v>299</v>
      </c>
      <c r="F301" t="s">
        <v>300</v>
      </c>
      <c r="G301">
        <v>0</v>
      </c>
      <c r="H301">
        <v>0</v>
      </c>
      <c r="I301" t="s">
        <v>301</v>
      </c>
      <c r="J301">
        <v>0</v>
      </c>
      <c r="K301">
        <v>0</v>
      </c>
      <c r="L301" t="s">
        <v>6</v>
      </c>
      <c r="M301" t="s">
        <v>6</v>
      </c>
      <c r="N301">
        <v>0</v>
      </c>
    </row>
    <row r="302" spans="1:23" x14ac:dyDescent="0.2">
      <c r="A302">
        <v>70</v>
      </c>
      <c r="B302">
        <v>1</v>
      </c>
      <c r="D302">
        <v>7</v>
      </c>
      <c r="E302" t="s">
        <v>302</v>
      </c>
      <c r="F302" t="s">
        <v>303</v>
      </c>
      <c r="G302">
        <v>1</v>
      </c>
      <c r="H302">
        <v>0</v>
      </c>
      <c r="I302" t="s">
        <v>6</v>
      </c>
      <c r="J302">
        <v>0</v>
      </c>
      <c r="K302">
        <v>0</v>
      </c>
      <c r="L302" t="s">
        <v>6</v>
      </c>
      <c r="M302" t="s">
        <v>6</v>
      </c>
      <c r="N302">
        <v>0</v>
      </c>
    </row>
    <row r="303" spans="1:23" x14ac:dyDescent="0.2">
      <c r="A303">
        <v>70</v>
      </c>
      <c r="B303">
        <v>1</v>
      </c>
      <c r="D303">
        <v>8</v>
      </c>
      <c r="E303" t="s">
        <v>304</v>
      </c>
      <c r="F303" t="s">
        <v>305</v>
      </c>
      <c r="G303">
        <v>0</v>
      </c>
      <c r="H303">
        <v>0</v>
      </c>
      <c r="I303" t="s">
        <v>306</v>
      </c>
      <c r="J303">
        <v>0</v>
      </c>
      <c r="K303">
        <v>0</v>
      </c>
      <c r="L303" t="s">
        <v>6</v>
      </c>
      <c r="M303" t="s">
        <v>6</v>
      </c>
      <c r="N303">
        <v>0</v>
      </c>
    </row>
    <row r="304" spans="1:23" x14ac:dyDescent="0.2">
      <c r="A304">
        <v>70</v>
      </c>
      <c r="B304">
        <v>1</v>
      </c>
      <c r="D304">
        <v>9</v>
      </c>
      <c r="E304" t="s">
        <v>307</v>
      </c>
      <c r="F304" t="s">
        <v>308</v>
      </c>
      <c r="G304">
        <v>0</v>
      </c>
      <c r="H304">
        <v>0</v>
      </c>
      <c r="I304" t="s">
        <v>309</v>
      </c>
      <c r="J304">
        <v>0</v>
      </c>
      <c r="K304">
        <v>0</v>
      </c>
      <c r="L304" t="s">
        <v>6</v>
      </c>
      <c r="M304" t="s">
        <v>6</v>
      </c>
      <c r="N304">
        <v>0</v>
      </c>
    </row>
    <row r="305" spans="1:14" x14ac:dyDescent="0.2">
      <c r="A305">
        <v>70</v>
      </c>
      <c r="B305">
        <v>1</v>
      </c>
      <c r="D305">
        <v>10</v>
      </c>
      <c r="E305" t="s">
        <v>310</v>
      </c>
      <c r="F305" t="s">
        <v>311</v>
      </c>
      <c r="G305">
        <v>0</v>
      </c>
      <c r="H305">
        <v>0</v>
      </c>
      <c r="I305" t="s">
        <v>312</v>
      </c>
      <c r="J305">
        <v>0</v>
      </c>
      <c r="K305">
        <v>0</v>
      </c>
      <c r="L305" t="s">
        <v>6</v>
      </c>
      <c r="M305" t="s">
        <v>6</v>
      </c>
      <c r="N305">
        <v>0</v>
      </c>
    </row>
    <row r="306" spans="1:14" x14ac:dyDescent="0.2">
      <c r="A306">
        <v>70</v>
      </c>
      <c r="B306">
        <v>1</v>
      </c>
      <c r="D306">
        <v>11</v>
      </c>
      <c r="E306" t="s">
        <v>313</v>
      </c>
      <c r="F306" t="s">
        <v>314</v>
      </c>
      <c r="G306">
        <v>0</v>
      </c>
      <c r="H306">
        <v>0</v>
      </c>
      <c r="I306" t="s">
        <v>315</v>
      </c>
      <c r="J306">
        <v>0</v>
      </c>
      <c r="K306">
        <v>0</v>
      </c>
      <c r="L306" t="s">
        <v>6</v>
      </c>
      <c r="M306" t="s">
        <v>6</v>
      </c>
      <c r="N306">
        <v>0</v>
      </c>
    </row>
    <row r="307" spans="1:14" x14ac:dyDescent="0.2">
      <c r="A307">
        <v>70</v>
      </c>
      <c r="B307">
        <v>1</v>
      </c>
      <c r="D307">
        <v>12</v>
      </c>
      <c r="E307" t="s">
        <v>316</v>
      </c>
      <c r="F307" t="s">
        <v>317</v>
      </c>
      <c r="G307">
        <v>0</v>
      </c>
      <c r="H307">
        <v>0</v>
      </c>
      <c r="I307" t="s">
        <v>6</v>
      </c>
      <c r="J307">
        <v>0</v>
      </c>
      <c r="K307">
        <v>0</v>
      </c>
      <c r="L307" t="s">
        <v>6</v>
      </c>
      <c r="M307" t="s">
        <v>6</v>
      </c>
      <c r="N307">
        <v>0</v>
      </c>
    </row>
    <row r="308" spans="1:14" x14ac:dyDescent="0.2">
      <c r="A308">
        <v>70</v>
      </c>
      <c r="B308">
        <v>1</v>
      </c>
      <c r="D308">
        <v>1</v>
      </c>
      <c r="E308" t="s">
        <v>318</v>
      </c>
      <c r="F308" t="s">
        <v>319</v>
      </c>
      <c r="G308">
        <v>0.9</v>
      </c>
      <c r="H308">
        <v>1</v>
      </c>
      <c r="I308" t="s">
        <v>320</v>
      </c>
      <c r="J308">
        <v>0</v>
      </c>
      <c r="K308">
        <v>0</v>
      </c>
      <c r="L308" t="s">
        <v>6</v>
      </c>
      <c r="M308" t="s">
        <v>6</v>
      </c>
      <c r="N308">
        <v>0</v>
      </c>
    </row>
    <row r="309" spans="1:14" x14ac:dyDescent="0.2">
      <c r="A309">
        <v>70</v>
      </c>
      <c r="B309">
        <v>1</v>
      </c>
      <c r="D309">
        <v>2</v>
      </c>
      <c r="E309" t="s">
        <v>321</v>
      </c>
      <c r="F309" t="s">
        <v>322</v>
      </c>
      <c r="G309">
        <v>0.85</v>
      </c>
      <c r="H309">
        <v>1</v>
      </c>
      <c r="I309" t="s">
        <v>323</v>
      </c>
      <c r="J309">
        <v>0</v>
      </c>
      <c r="K309">
        <v>0</v>
      </c>
      <c r="L309" t="s">
        <v>6</v>
      </c>
      <c r="M309" t="s">
        <v>6</v>
      </c>
      <c r="N309">
        <v>0</v>
      </c>
    </row>
    <row r="310" spans="1:14" x14ac:dyDescent="0.2">
      <c r="A310">
        <v>70</v>
      </c>
      <c r="B310">
        <v>1</v>
      </c>
      <c r="D310">
        <v>3</v>
      </c>
      <c r="E310" t="s">
        <v>324</v>
      </c>
      <c r="F310" t="s">
        <v>325</v>
      </c>
      <c r="G310">
        <v>1</v>
      </c>
      <c r="H310">
        <v>0.85</v>
      </c>
      <c r="I310" t="s">
        <v>326</v>
      </c>
      <c r="J310">
        <v>0</v>
      </c>
      <c r="K310">
        <v>0</v>
      </c>
      <c r="L310" t="s">
        <v>6</v>
      </c>
      <c r="M310" t="s">
        <v>6</v>
      </c>
      <c r="N310">
        <v>0</v>
      </c>
    </row>
    <row r="311" spans="1:14" x14ac:dyDescent="0.2">
      <c r="A311">
        <v>70</v>
      </c>
      <c r="B311">
        <v>1</v>
      </c>
      <c r="D311">
        <v>4</v>
      </c>
      <c r="E311" t="s">
        <v>327</v>
      </c>
      <c r="F311" t="s">
        <v>328</v>
      </c>
      <c r="G311">
        <v>1</v>
      </c>
      <c r="H311">
        <v>0</v>
      </c>
      <c r="I311" t="s">
        <v>6</v>
      </c>
      <c r="J311">
        <v>0</v>
      </c>
      <c r="K311">
        <v>0</v>
      </c>
      <c r="L311" t="s">
        <v>6</v>
      </c>
      <c r="M311" t="s">
        <v>6</v>
      </c>
      <c r="N311">
        <v>0</v>
      </c>
    </row>
    <row r="312" spans="1:14" x14ac:dyDescent="0.2">
      <c r="A312">
        <v>70</v>
      </c>
      <c r="B312">
        <v>1</v>
      </c>
      <c r="D312">
        <v>5</v>
      </c>
      <c r="E312" t="s">
        <v>329</v>
      </c>
      <c r="F312" t="s">
        <v>330</v>
      </c>
      <c r="G312">
        <v>1</v>
      </c>
      <c r="H312">
        <v>0.8</v>
      </c>
      <c r="I312" t="s">
        <v>331</v>
      </c>
      <c r="J312">
        <v>0</v>
      </c>
      <c r="K312">
        <v>0</v>
      </c>
      <c r="L312" t="s">
        <v>6</v>
      </c>
      <c r="M312" t="s">
        <v>6</v>
      </c>
      <c r="N312">
        <v>0</v>
      </c>
    </row>
    <row r="313" spans="1:14" x14ac:dyDescent="0.2">
      <c r="A313">
        <v>70</v>
      </c>
      <c r="B313">
        <v>1</v>
      </c>
      <c r="D313">
        <v>6</v>
      </c>
      <c r="E313" t="s">
        <v>332</v>
      </c>
      <c r="F313" t="s">
        <v>333</v>
      </c>
      <c r="G313">
        <v>0.85</v>
      </c>
      <c r="H313">
        <v>0</v>
      </c>
      <c r="I313" t="s">
        <v>6</v>
      </c>
      <c r="J313">
        <v>0</v>
      </c>
      <c r="K313">
        <v>0</v>
      </c>
      <c r="L313" t="s">
        <v>6</v>
      </c>
      <c r="M313" t="s">
        <v>6</v>
      </c>
      <c r="N313">
        <v>0</v>
      </c>
    </row>
    <row r="314" spans="1:14" x14ac:dyDescent="0.2">
      <c r="A314">
        <v>70</v>
      </c>
      <c r="B314">
        <v>1</v>
      </c>
      <c r="D314">
        <v>7</v>
      </c>
      <c r="E314" t="s">
        <v>334</v>
      </c>
      <c r="F314" t="s">
        <v>335</v>
      </c>
      <c r="G314">
        <v>0.8</v>
      </c>
      <c r="H314">
        <v>0</v>
      </c>
      <c r="I314" t="s">
        <v>6</v>
      </c>
      <c r="J314">
        <v>0</v>
      </c>
      <c r="K314">
        <v>0</v>
      </c>
      <c r="L314" t="s">
        <v>6</v>
      </c>
      <c r="M314" t="s">
        <v>6</v>
      </c>
      <c r="N314">
        <v>0</v>
      </c>
    </row>
    <row r="315" spans="1:14" x14ac:dyDescent="0.2">
      <c r="A315">
        <v>70</v>
      </c>
      <c r="B315">
        <v>1</v>
      </c>
      <c r="D315">
        <v>8</v>
      </c>
      <c r="E315" t="s">
        <v>336</v>
      </c>
      <c r="F315" t="s">
        <v>337</v>
      </c>
      <c r="G315">
        <v>0.94</v>
      </c>
      <c r="H315">
        <v>0</v>
      </c>
      <c r="I315" t="s">
        <v>6</v>
      </c>
      <c r="J315">
        <v>0</v>
      </c>
      <c r="K315">
        <v>0</v>
      </c>
      <c r="L315" t="s">
        <v>6</v>
      </c>
      <c r="M315" t="s">
        <v>6</v>
      </c>
      <c r="N315">
        <v>0</v>
      </c>
    </row>
    <row r="316" spans="1:14" x14ac:dyDescent="0.2">
      <c r="A316">
        <v>70</v>
      </c>
      <c r="B316">
        <v>1</v>
      </c>
      <c r="D316">
        <v>9</v>
      </c>
      <c r="E316" t="s">
        <v>338</v>
      </c>
      <c r="F316" t="s">
        <v>339</v>
      </c>
      <c r="G316">
        <v>0.9</v>
      </c>
      <c r="H316">
        <v>0</v>
      </c>
      <c r="I316" t="s">
        <v>6</v>
      </c>
      <c r="J316">
        <v>0</v>
      </c>
      <c r="K316">
        <v>0</v>
      </c>
      <c r="L316" t="s">
        <v>6</v>
      </c>
      <c r="M316" t="s">
        <v>6</v>
      </c>
      <c r="N316">
        <v>0</v>
      </c>
    </row>
    <row r="317" spans="1:14" x14ac:dyDescent="0.2">
      <c r="A317">
        <v>70</v>
      </c>
      <c r="B317">
        <v>1</v>
      </c>
      <c r="D317">
        <v>10</v>
      </c>
      <c r="E317" t="s">
        <v>340</v>
      </c>
      <c r="F317" t="s">
        <v>341</v>
      </c>
      <c r="G317">
        <v>0.6</v>
      </c>
      <c r="H317">
        <v>0</v>
      </c>
      <c r="I317" t="s">
        <v>6</v>
      </c>
      <c r="J317">
        <v>0</v>
      </c>
      <c r="K317">
        <v>0</v>
      </c>
      <c r="L317" t="s">
        <v>6</v>
      </c>
      <c r="M317" t="s">
        <v>6</v>
      </c>
      <c r="N317">
        <v>0</v>
      </c>
    </row>
    <row r="318" spans="1:14" x14ac:dyDescent="0.2">
      <c r="A318">
        <v>70</v>
      </c>
      <c r="B318">
        <v>1</v>
      </c>
      <c r="D318">
        <v>11</v>
      </c>
      <c r="E318" t="s">
        <v>342</v>
      </c>
      <c r="F318" t="s">
        <v>343</v>
      </c>
      <c r="G318">
        <v>1.2</v>
      </c>
      <c r="H318">
        <v>0</v>
      </c>
      <c r="I318" t="s">
        <v>6</v>
      </c>
      <c r="J318">
        <v>0</v>
      </c>
      <c r="K318">
        <v>0</v>
      </c>
      <c r="L318" t="s">
        <v>6</v>
      </c>
      <c r="M318" t="s">
        <v>6</v>
      </c>
      <c r="N318">
        <v>0</v>
      </c>
    </row>
    <row r="319" spans="1:14" x14ac:dyDescent="0.2">
      <c r="A319">
        <v>70</v>
      </c>
      <c r="B319">
        <v>1</v>
      </c>
      <c r="D319">
        <v>12</v>
      </c>
      <c r="E319" t="s">
        <v>344</v>
      </c>
      <c r="F319" t="s">
        <v>345</v>
      </c>
      <c r="G319">
        <v>0</v>
      </c>
      <c r="H319">
        <v>0</v>
      </c>
      <c r="I319" t="s">
        <v>6</v>
      </c>
      <c r="J319">
        <v>0</v>
      </c>
      <c r="K319">
        <v>0</v>
      </c>
      <c r="L319" t="s">
        <v>6</v>
      </c>
      <c r="M319" t="s">
        <v>6</v>
      </c>
      <c r="N319">
        <v>0</v>
      </c>
    </row>
    <row r="320" spans="1:14" x14ac:dyDescent="0.2">
      <c r="A320">
        <v>70</v>
      </c>
      <c r="B320">
        <v>1</v>
      </c>
      <c r="D320">
        <v>13</v>
      </c>
      <c r="E320" t="s">
        <v>346</v>
      </c>
      <c r="F320" t="s">
        <v>347</v>
      </c>
      <c r="G320">
        <v>0.94</v>
      </c>
      <c r="H320">
        <v>0</v>
      </c>
      <c r="I320" t="s">
        <v>6</v>
      </c>
      <c r="J320">
        <v>0</v>
      </c>
      <c r="K320">
        <v>0</v>
      </c>
      <c r="L320" t="s">
        <v>6</v>
      </c>
      <c r="M320" t="s">
        <v>6</v>
      </c>
      <c r="N320">
        <v>0</v>
      </c>
    </row>
    <row r="322" spans="1:27" x14ac:dyDescent="0.2">
      <c r="A322">
        <v>-1</v>
      </c>
    </row>
    <row r="324" spans="1:27" x14ac:dyDescent="0.2">
      <c r="A324" s="3">
        <v>75</v>
      </c>
      <c r="B324" s="3" t="s">
        <v>348</v>
      </c>
      <c r="C324" s="3">
        <v>2020</v>
      </c>
      <c r="D324" s="3">
        <v>0</v>
      </c>
      <c r="E324" s="3">
        <v>1</v>
      </c>
      <c r="F324" s="3"/>
      <c r="G324" s="3">
        <v>0</v>
      </c>
      <c r="H324" s="3">
        <v>1</v>
      </c>
      <c r="I324" s="3">
        <v>0</v>
      </c>
      <c r="J324" s="3">
        <v>1</v>
      </c>
      <c r="K324" s="3">
        <v>0</v>
      </c>
      <c r="L324" s="3">
        <v>0</v>
      </c>
      <c r="M324" s="3">
        <v>0</v>
      </c>
      <c r="N324" s="3">
        <v>48276314</v>
      </c>
      <c r="O324" s="3">
        <v>1</v>
      </c>
    </row>
    <row r="325" spans="1:27" x14ac:dyDescent="0.2">
      <c r="A325" s="5">
        <v>2</v>
      </c>
      <c r="B325" s="5" t="s">
        <v>349</v>
      </c>
      <c r="C325" s="5" t="s">
        <v>350</v>
      </c>
      <c r="D325" s="5">
        <v>0</v>
      </c>
      <c r="E325" s="5">
        <v>0</v>
      </c>
    </row>
    <row r="326" spans="1:27" x14ac:dyDescent="0.2">
      <c r="A326" s="5">
        <v>1</v>
      </c>
      <c r="B326" s="5" t="s">
        <v>351</v>
      </c>
      <c r="C326" s="5" t="s">
        <v>352</v>
      </c>
      <c r="D326" s="5">
        <v>2020</v>
      </c>
      <c r="E326" s="5">
        <v>1</v>
      </c>
      <c r="F326" s="5">
        <v>1</v>
      </c>
      <c r="G326" s="5">
        <v>1</v>
      </c>
      <c r="H326" s="5">
        <v>0</v>
      </c>
      <c r="I326" s="5">
        <v>2</v>
      </c>
      <c r="J326" s="5">
        <v>1</v>
      </c>
      <c r="K326" s="5">
        <v>1</v>
      </c>
      <c r="L326" s="5">
        <v>1</v>
      </c>
      <c r="M326" s="5">
        <v>1</v>
      </c>
      <c r="N326" s="5">
        <v>1</v>
      </c>
      <c r="O326" s="5">
        <v>1</v>
      </c>
      <c r="P326" s="5">
        <v>1</v>
      </c>
      <c r="Q326" s="5">
        <v>1</v>
      </c>
      <c r="R326" s="5" t="s">
        <v>6</v>
      </c>
      <c r="S326" s="5" t="s">
        <v>6</v>
      </c>
      <c r="T326" s="5" t="s">
        <v>6</v>
      </c>
      <c r="U326" s="5" t="s">
        <v>6</v>
      </c>
      <c r="V326" s="5" t="s">
        <v>6</v>
      </c>
      <c r="W326" s="5" t="s">
        <v>6</v>
      </c>
      <c r="X326" s="5" t="s">
        <v>6</v>
      </c>
      <c r="Y326" s="5" t="s">
        <v>6</v>
      </c>
      <c r="Z326" s="5" t="s">
        <v>6</v>
      </c>
      <c r="AA326" s="5" t="s">
        <v>6</v>
      </c>
    </row>
    <row r="330" spans="1:27" x14ac:dyDescent="0.2">
      <c r="A330">
        <v>65</v>
      </c>
      <c r="C330">
        <v>1</v>
      </c>
      <c r="D330">
        <v>0</v>
      </c>
      <c r="E330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9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353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41017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57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7</v>
      </c>
      <c r="AC12" s="1" t="s">
        <v>8</v>
      </c>
      <c r="AD12" s="1" t="s">
        <v>9</v>
      </c>
      <c r="AE12" s="1" t="s">
        <v>10</v>
      </c>
      <c r="AF12" s="1" t="s">
        <v>11</v>
      </c>
      <c r="AG12" s="1" t="s">
        <v>12</v>
      </c>
      <c r="AH12" s="1" t="s">
        <v>13</v>
      </c>
      <c r="AI12" s="1" t="s">
        <v>12</v>
      </c>
      <c r="AJ12" s="1" t="s">
        <v>14</v>
      </c>
      <c r="AK12" s="1"/>
      <c r="AL12" s="1" t="s">
        <v>15</v>
      </c>
      <c r="AM12" s="1" t="s">
        <v>16</v>
      </c>
      <c r="AN12" s="1" t="s">
        <v>17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18</v>
      </c>
      <c r="AY12" s="1" t="s">
        <v>19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20</v>
      </c>
      <c r="BI12" s="1" t="s">
        <v>21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22</v>
      </c>
      <c r="BZ12" s="1" t="s">
        <v>23</v>
      </c>
      <c r="CA12" s="1" t="s">
        <v>24</v>
      </c>
      <c r="CB12" s="1" t="s">
        <v>25</v>
      </c>
      <c r="CC12" s="1" t="s">
        <v>25</v>
      </c>
      <c r="CD12" s="1" t="s">
        <v>25</v>
      </c>
      <c r="CE12" s="1" t="s">
        <v>26</v>
      </c>
      <c r="CF12" s="1">
        <v>0</v>
      </c>
      <c r="CG12" s="1">
        <v>0</v>
      </c>
      <c r="CH12" s="1">
        <v>8200</v>
      </c>
      <c r="CI12" s="1" t="s">
        <v>6</v>
      </c>
      <c r="CJ12" s="1" t="s">
        <v>6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48276314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4</v>
      </c>
      <c r="D16" s="6" t="s">
        <v>5</v>
      </c>
      <c r="E16" s="7">
        <f>(Source!F247)/1000</f>
        <v>2543.0328100000002</v>
      </c>
      <c r="F16" s="7">
        <f>(Source!F248)/1000</f>
        <v>683.28778</v>
      </c>
      <c r="G16" s="7">
        <f>(Source!F239)/1000</f>
        <v>0</v>
      </c>
      <c r="H16" s="7">
        <f>(Source!F249)/1000+(Source!F250)/1000</f>
        <v>18.369880000000002</v>
      </c>
      <c r="I16" s="7">
        <f>E16+F16+G16+H16</f>
        <v>3244.6904700000005</v>
      </c>
      <c r="J16" s="7">
        <f>(Source!F245)/1000</f>
        <v>695.82213999999999</v>
      </c>
      <c r="AI16" s="6">
        <v>0</v>
      </c>
      <c r="AJ16" s="6">
        <v>-1</v>
      </c>
      <c r="AK16" s="6" t="s">
        <v>6</v>
      </c>
      <c r="AL16" s="6" t="s">
        <v>6</v>
      </c>
      <c r="AM16" s="6" t="s">
        <v>6</v>
      </c>
      <c r="AN16" s="6">
        <v>0</v>
      </c>
      <c r="AO16" s="6" t="s">
        <v>6</v>
      </c>
      <c r="AP16" s="6" t="s">
        <v>6</v>
      </c>
      <c r="AT16" s="7">
        <v>2106052.11</v>
      </c>
      <c r="AU16" s="7">
        <v>1195472.3600000001</v>
      </c>
      <c r="AV16" s="7">
        <v>0</v>
      </c>
      <c r="AW16" s="7">
        <v>0</v>
      </c>
      <c r="AX16" s="7">
        <v>0</v>
      </c>
      <c r="AY16" s="7">
        <v>214757.61</v>
      </c>
      <c r="AZ16" s="7">
        <v>43819.66</v>
      </c>
      <c r="BA16" s="7">
        <v>695822.14</v>
      </c>
      <c r="BB16" s="7">
        <v>2543032.81</v>
      </c>
      <c r="BC16" s="7">
        <v>683287.78</v>
      </c>
      <c r="BD16" s="7">
        <v>18369.88</v>
      </c>
      <c r="BE16" s="7">
        <v>0</v>
      </c>
      <c r="BF16" s="7">
        <v>2832.8306628000005</v>
      </c>
      <c r="BG16" s="7">
        <v>118.26843000000001</v>
      </c>
      <c r="BH16" s="7">
        <v>3367.85</v>
      </c>
      <c r="BI16" s="7">
        <v>708205.43</v>
      </c>
      <c r="BJ16" s="7">
        <v>430432.93</v>
      </c>
      <c r="BK16" s="7">
        <v>3244690.47</v>
      </c>
    </row>
    <row r="18" spans="1:19" x14ac:dyDescent="0.2">
      <c r="A18">
        <v>51</v>
      </c>
      <c r="E18" s="8">
        <f>SUMIF(A16:A17,3,E16:E17)</f>
        <v>2543.0328100000002</v>
      </c>
      <c r="F18" s="8">
        <f>SUMIF(A16:A17,3,F16:F17)</f>
        <v>683.28778</v>
      </c>
      <c r="G18" s="8">
        <f>SUMIF(A16:A17,3,G16:G17)</f>
        <v>0</v>
      </c>
      <c r="H18" s="8">
        <f>SUMIF(A16:A17,3,H16:H17)</f>
        <v>18.369880000000002</v>
      </c>
      <c r="I18" s="8">
        <f>SUMIF(A16:A17,3,I16:I17)</f>
        <v>3244.6904700000005</v>
      </c>
      <c r="J18" s="8">
        <f>SUMIF(A16:A17,3,J16:J17)</f>
        <v>695.82213999999999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2106052.11</v>
      </c>
      <c r="G20" s="4" t="s">
        <v>130</v>
      </c>
      <c r="H20" s="4" t="s">
        <v>131</v>
      </c>
      <c r="I20" s="4"/>
      <c r="J20" s="4"/>
      <c r="K20" s="4">
        <v>201</v>
      </c>
      <c r="L20" s="4">
        <v>1</v>
      </c>
      <c r="M20" s="4">
        <v>3</v>
      </c>
      <c r="N20" s="4" t="s">
        <v>6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1195472.3600000001</v>
      </c>
      <c r="G21" s="4" t="s">
        <v>132</v>
      </c>
      <c r="H21" s="4" t="s">
        <v>133</v>
      </c>
      <c r="I21" s="4"/>
      <c r="J21" s="4"/>
      <c r="K21" s="4">
        <v>202</v>
      </c>
      <c r="L21" s="4">
        <v>2</v>
      </c>
      <c r="M21" s="4">
        <v>3</v>
      </c>
      <c r="N21" s="4" t="s">
        <v>6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134</v>
      </c>
      <c r="H22" s="4" t="s">
        <v>135</v>
      </c>
      <c r="I22" s="4"/>
      <c r="J22" s="4"/>
      <c r="K22" s="4">
        <v>222</v>
      </c>
      <c r="L22" s="4">
        <v>3</v>
      </c>
      <c r="M22" s="4">
        <v>3</v>
      </c>
      <c r="N22" s="4" t="s">
        <v>6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1195472.3600000001</v>
      </c>
      <c r="G23" s="4" t="s">
        <v>136</v>
      </c>
      <c r="H23" s="4" t="s">
        <v>137</v>
      </c>
      <c r="I23" s="4"/>
      <c r="J23" s="4"/>
      <c r="K23" s="4">
        <v>225</v>
      </c>
      <c r="L23" s="4">
        <v>4</v>
      </c>
      <c r="M23" s="4">
        <v>3</v>
      </c>
      <c r="N23" s="4" t="s">
        <v>6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1195472.3600000001</v>
      </c>
      <c r="G24" s="4" t="s">
        <v>138</v>
      </c>
      <c r="H24" s="4" t="s">
        <v>139</v>
      </c>
      <c r="I24" s="4"/>
      <c r="J24" s="4"/>
      <c r="K24" s="4">
        <v>226</v>
      </c>
      <c r="L24" s="4">
        <v>5</v>
      </c>
      <c r="M24" s="4">
        <v>3</v>
      </c>
      <c r="N24" s="4" t="s">
        <v>6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140</v>
      </c>
      <c r="H25" s="4" t="s">
        <v>141</v>
      </c>
      <c r="I25" s="4"/>
      <c r="J25" s="4"/>
      <c r="K25" s="4">
        <v>227</v>
      </c>
      <c r="L25" s="4">
        <v>6</v>
      </c>
      <c r="M25" s="4">
        <v>3</v>
      </c>
      <c r="N25" s="4" t="s">
        <v>6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1195472.3600000001</v>
      </c>
      <c r="G26" s="4" t="s">
        <v>142</v>
      </c>
      <c r="H26" s="4" t="s">
        <v>143</v>
      </c>
      <c r="I26" s="4"/>
      <c r="J26" s="4"/>
      <c r="K26" s="4">
        <v>228</v>
      </c>
      <c r="L26" s="4">
        <v>7</v>
      </c>
      <c r="M26" s="4">
        <v>3</v>
      </c>
      <c r="N26" s="4" t="s">
        <v>6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144</v>
      </c>
      <c r="H27" s="4" t="s">
        <v>145</v>
      </c>
      <c r="I27" s="4"/>
      <c r="J27" s="4"/>
      <c r="K27" s="4">
        <v>216</v>
      </c>
      <c r="L27" s="4">
        <v>8</v>
      </c>
      <c r="M27" s="4">
        <v>3</v>
      </c>
      <c r="N27" s="4" t="s">
        <v>6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146</v>
      </c>
      <c r="H28" s="4" t="s">
        <v>147</v>
      </c>
      <c r="I28" s="4"/>
      <c r="J28" s="4"/>
      <c r="K28" s="4">
        <v>223</v>
      </c>
      <c r="L28" s="4">
        <v>9</v>
      </c>
      <c r="M28" s="4">
        <v>3</v>
      </c>
      <c r="N28" s="4" t="s">
        <v>6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148</v>
      </c>
      <c r="H29" s="4" t="s">
        <v>149</v>
      </c>
      <c r="I29" s="4"/>
      <c r="J29" s="4"/>
      <c r="K29" s="4">
        <v>229</v>
      </c>
      <c r="L29" s="4">
        <v>10</v>
      </c>
      <c r="M29" s="4">
        <v>3</v>
      </c>
      <c r="N29" s="4" t="s">
        <v>6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214757.61</v>
      </c>
      <c r="G30" s="4" t="s">
        <v>150</v>
      </c>
      <c r="H30" s="4" t="s">
        <v>151</v>
      </c>
      <c r="I30" s="4"/>
      <c r="J30" s="4"/>
      <c r="K30" s="4">
        <v>203</v>
      </c>
      <c r="L30" s="4">
        <v>11</v>
      </c>
      <c r="M30" s="4">
        <v>3</v>
      </c>
      <c r="N30" s="4" t="s">
        <v>6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152</v>
      </c>
      <c r="H31" s="4" t="s">
        <v>153</v>
      </c>
      <c r="I31" s="4"/>
      <c r="J31" s="4"/>
      <c r="K31" s="4">
        <v>231</v>
      </c>
      <c r="L31" s="4">
        <v>12</v>
      </c>
      <c r="M31" s="4">
        <v>3</v>
      </c>
      <c r="N31" s="4" t="s">
        <v>6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43819.66</v>
      </c>
      <c r="G32" s="4" t="s">
        <v>154</v>
      </c>
      <c r="H32" s="4" t="s">
        <v>155</v>
      </c>
      <c r="I32" s="4"/>
      <c r="J32" s="4"/>
      <c r="K32" s="4">
        <v>204</v>
      </c>
      <c r="L32" s="4">
        <v>13</v>
      </c>
      <c r="M32" s="4">
        <v>3</v>
      </c>
      <c r="N32" s="4" t="s">
        <v>6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695822.14</v>
      </c>
      <c r="G33" s="4" t="s">
        <v>156</v>
      </c>
      <c r="H33" s="4" t="s">
        <v>157</v>
      </c>
      <c r="I33" s="4"/>
      <c r="J33" s="4"/>
      <c r="K33" s="4">
        <v>205</v>
      </c>
      <c r="L33" s="4">
        <v>14</v>
      </c>
      <c r="M33" s="4">
        <v>3</v>
      </c>
      <c r="N33" s="4" t="s">
        <v>6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158</v>
      </c>
      <c r="H34" s="4" t="s">
        <v>159</v>
      </c>
      <c r="I34" s="4"/>
      <c r="J34" s="4"/>
      <c r="K34" s="4">
        <v>232</v>
      </c>
      <c r="L34" s="4">
        <v>15</v>
      </c>
      <c r="M34" s="4">
        <v>3</v>
      </c>
      <c r="N34" s="4" t="s">
        <v>6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2543032.81</v>
      </c>
      <c r="G35" s="4" t="s">
        <v>160</v>
      </c>
      <c r="H35" s="4" t="s">
        <v>161</v>
      </c>
      <c r="I35" s="4"/>
      <c r="J35" s="4"/>
      <c r="K35" s="4">
        <v>214</v>
      </c>
      <c r="L35" s="4">
        <v>16</v>
      </c>
      <c r="M35" s="4">
        <v>3</v>
      </c>
      <c r="N35" s="4" t="s">
        <v>6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683287.78</v>
      </c>
      <c r="G36" s="4" t="s">
        <v>162</v>
      </c>
      <c r="H36" s="4" t="s">
        <v>163</v>
      </c>
      <c r="I36" s="4"/>
      <c r="J36" s="4"/>
      <c r="K36" s="4">
        <v>215</v>
      </c>
      <c r="L36" s="4">
        <v>17</v>
      </c>
      <c r="M36" s="4">
        <v>3</v>
      </c>
      <c r="N36" s="4" t="s">
        <v>6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18369.88</v>
      </c>
      <c r="G37" s="4" t="s">
        <v>164</v>
      </c>
      <c r="H37" s="4" t="s">
        <v>165</v>
      </c>
      <c r="I37" s="4"/>
      <c r="J37" s="4"/>
      <c r="K37" s="4">
        <v>217</v>
      </c>
      <c r="L37" s="4">
        <v>18</v>
      </c>
      <c r="M37" s="4">
        <v>3</v>
      </c>
      <c r="N37" s="4" t="s">
        <v>6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166</v>
      </c>
      <c r="H38" s="4" t="s">
        <v>167</v>
      </c>
      <c r="I38" s="4"/>
      <c r="J38" s="4"/>
      <c r="K38" s="4">
        <v>230</v>
      </c>
      <c r="L38" s="4">
        <v>19</v>
      </c>
      <c r="M38" s="4">
        <v>3</v>
      </c>
      <c r="N38" s="4" t="s">
        <v>6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168</v>
      </c>
      <c r="H39" s="4" t="s">
        <v>169</v>
      </c>
      <c r="I39" s="4"/>
      <c r="J39" s="4"/>
      <c r="K39" s="4">
        <v>206</v>
      </c>
      <c r="L39" s="4">
        <v>20</v>
      </c>
      <c r="M39" s="4">
        <v>3</v>
      </c>
      <c r="N39" s="4" t="s">
        <v>6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2832.8306628000005</v>
      </c>
      <c r="G40" s="4" t="s">
        <v>170</v>
      </c>
      <c r="H40" s="4" t="s">
        <v>171</v>
      </c>
      <c r="I40" s="4"/>
      <c r="J40" s="4"/>
      <c r="K40" s="4">
        <v>207</v>
      </c>
      <c r="L40" s="4">
        <v>21</v>
      </c>
      <c r="M40" s="4">
        <v>3</v>
      </c>
      <c r="N40" s="4" t="s">
        <v>6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118.26843000000001</v>
      </c>
      <c r="G41" s="4" t="s">
        <v>172</v>
      </c>
      <c r="H41" s="4" t="s">
        <v>173</v>
      </c>
      <c r="I41" s="4"/>
      <c r="J41" s="4"/>
      <c r="K41" s="4">
        <v>208</v>
      </c>
      <c r="L41" s="4">
        <v>22</v>
      </c>
      <c r="M41" s="4">
        <v>3</v>
      </c>
      <c r="N41" s="4" t="s">
        <v>6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3367.85</v>
      </c>
      <c r="G42" s="4" t="s">
        <v>174</v>
      </c>
      <c r="H42" s="4" t="s">
        <v>175</v>
      </c>
      <c r="I42" s="4"/>
      <c r="J42" s="4"/>
      <c r="K42" s="4">
        <v>209</v>
      </c>
      <c r="L42" s="4">
        <v>23</v>
      </c>
      <c r="M42" s="4">
        <v>3</v>
      </c>
      <c r="N42" s="4" t="s">
        <v>6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708205.43</v>
      </c>
      <c r="G43" s="4" t="s">
        <v>176</v>
      </c>
      <c r="H43" s="4" t="s">
        <v>177</v>
      </c>
      <c r="I43" s="4"/>
      <c r="J43" s="4"/>
      <c r="K43" s="4">
        <v>210</v>
      </c>
      <c r="L43" s="4">
        <v>24</v>
      </c>
      <c r="M43" s="4">
        <v>3</v>
      </c>
      <c r="N43" s="4" t="s">
        <v>6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430432.93</v>
      </c>
      <c r="G44" s="4" t="s">
        <v>178</v>
      </c>
      <c r="H44" s="4" t="s">
        <v>179</v>
      </c>
      <c r="I44" s="4"/>
      <c r="J44" s="4"/>
      <c r="K44" s="4">
        <v>211</v>
      </c>
      <c r="L44" s="4">
        <v>25</v>
      </c>
      <c r="M44" s="4">
        <v>3</v>
      </c>
      <c r="N44" s="4" t="s">
        <v>6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3244690.47</v>
      </c>
      <c r="G45" s="4" t="s">
        <v>180</v>
      </c>
      <c r="H45" s="4" t="s">
        <v>181</v>
      </c>
      <c r="I45" s="4"/>
      <c r="J45" s="4"/>
      <c r="K45" s="4">
        <v>224</v>
      </c>
      <c r="L45" s="4">
        <v>26</v>
      </c>
      <c r="M45" s="4">
        <v>3</v>
      </c>
      <c r="N45" s="4" t="s">
        <v>6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785200</v>
      </c>
      <c r="G46" s="4" t="s">
        <v>4</v>
      </c>
      <c r="H46" s="4" t="s">
        <v>266</v>
      </c>
      <c r="I46" s="4"/>
      <c r="J46" s="4"/>
      <c r="K46" s="4">
        <v>212</v>
      </c>
      <c r="L46" s="4">
        <v>27</v>
      </c>
      <c r="M46" s="4">
        <v>0</v>
      </c>
      <c r="N46" s="4" t="s">
        <v>6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2460380.09</v>
      </c>
      <c r="G47" s="4" t="s">
        <v>280</v>
      </c>
      <c r="H47" s="4" t="s">
        <v>281</v>
      </c>
      <c r="I47" s="4"/>
      <c r="J47" s="4"/>
      <c r="K47" s="4">
        <v>212</v>
      </c>
      <c r="L47" s="4">
        <v>29</v>
      </c>
      <c r="M47" s="4">
        <v>0</v>
      </c>
      <c r="N47" s="4" t="s">
        <v>6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275.55</v>
      </c>
      <c r="G48" s="4" t="s">
        <v>61</v>
      </c>
      <c r="H48" s="4" t="s">
        <v>282</v>
      </c>
      <c r="I48" s="4"/>
      <c r="J48" s="4"/>
      <c r="K48" s="4">
        <v>212</v>
      </c>
      <c r="L48" s="4">
        <v>30</v>
      </c>
      <c r="M48" s="4">
        <v>0</v>
      </c>
      <c r="N48" s="4" t="s">
        <v>6</v>
      </c>
      <c r="O48" s="4">
        <v>2</v>
      </c>
      <c r="P48" s="4"/>
    </row>
    <row r="49" spans="1:27" x14ac:dyDescent="0.2">
      <c r="A49" s="4">
        <v>50</v>
      </c>
      <c r="B49" s="4">
        <v>1</v>
      </c>
      <c r="C49" s="4">
        <v>0</v>
      </c>
      <c r="D49" s="4">
        <v>2</v>
      </c>
      <c r="E49" s="4">
        <v>0</v>
      </c>
      <c r="F49" s="4">
        <v>14762.28</v>
      </c>
      <c r="G49" s="4" t="s">
        <v>40</v>
      </c>
      <c r="H49" s="4" t="s">
        <v>283</v>
      </c>
      <c r="I49" s="4"/>
      <c r="J49" s="4"/>
      <c r="K49" s="4">
        <v>212</v>
      </c>
      <c r="L49" s="4">
        <v>31</v>
      </c>
      <c r="M49" s="4">
        <v>0</v>
      </c>
      <c r="N49" s="4" t="s">
        <v>6</v>
      </c>
      <c r="O49" s="4">
        <v>2</v>
      </c>
      <c r="P49" s="4"/>
    </row>
    <row r="50" spans="1:27" x14ac:dyDescent="0.2">
      <c r="A50" s="4">
        <v>50</v>
      </c>
      <c r="B50" s="4">
        <v>1</v>
      </c>
      <c r="C50" s="4">
        <v>0</v>
      </c>
      <c r="D50" s="4">
        <v>2</v>
      </c>
      <c r="E50" s="4">
        <v>0</v>
      </c>
      <c r="F50" s="4">
        <v>2475417.92</v>
      </c>
      <c r="G50" s="4" t="s">
        <v>117</v>
      </c>
      <c r="H50" s="4" t="s">
        <v>284</v>
      </c>
      <c r="I50" s="4"/>
      <c r="J50" s="4"/>
      <c r="K50" s="4">
        <v>212</v>
      </c>
      <c r="L50" s="4">
        <v>36</v>
      </c>
      <c r="M50" s="4">
        <v>0</v>
      </c>
      <c r="N50" s="4" t="s">
        <v>6</v>
      </c>
      <c r="O50" s="4">
        <v>2</v>
      </c>
      <c r="P50" s="4"/>
    </row>
    <row r="51" spans="1:27" x14ac:dyDescent="0.2">
      <c r="A51" s="4">
        <v>50</v>
      </c>
      <c r="B51" s="4">
        <v>1</v>
      </c>
      <c r="C51" s="4">
        <v>0</v>
      </c>
      <c r="D51" s="4">
        <v>2</v>
      </c>
      <c r="E51" s="4">
        <v>0</v>
      </c>
      <c r="F51" s="4">
        <v>495083.58</v>
      </c>
      <c r="G51" s="4" t="s">
        <v>121</v>
      </c>
      <c r="H51" s="4" t="s">
        <v>285</v>
      </c>
      <c r="I51" s="4"/>
      <c r="J51" s="4"/>
      <c r="K51" s="4">
        <v>212</v>
      </c>
      <c r="L51" s="4">
        <v>37</v>
      </c>
      <c r="M51" s="4">
        <v>0</v>
      </c>
      <c r="N51" s="4" t="s">
        <v>6</v>
      </c>
      <c r="O51" s="4">
        <v>2</v>
      </c>
      <c r="P51" s="4"/>
    </row>
    <row r="52" spans="1:27" x14ac:dyDescent="0.2">
      <c r="A52" s="4">
        <v>50</v>
      </c>
      <c r="B52" s="4">
        <v>1</v>
      </c>
      <c r="C52" s="4">
        <v>0</v>
      </c>
      <c r="D52" s="4">
        <v>2</v>
      </c>
      <c r="E52" s="4">
        <v>0</v>
      </c>
      <c r="F52" s="4">
        <v>2970501.5</v>
      </c>
      <c r="G52" s="4" t="s">
        <v>183</v>
      </c>
      <c r="H52" s="4" t="s">
        <v>286</v>
      </c>
      <c r="I52" s="4"/>
      <c r="J52" s="4"/>
      <c r="K52" s="4">
        <v>212</v>
      </c>
      <c r="L52" s="4">
        <v>38</v>
      </c>
      <c r="M52" s="4">
        <v>0</v>
      </c>
      <c r="N52" s="4" t="s">
        <v>6</v>
      </c>
      <c r="O52" s="4">
        <v>2</v>
      </c>
      <c r="P52" s="4"/>
    </row>
    <row r="54" spans="1:27" x14ac:dyDescent="0.2">
      <c r="A54">
        <v>-1</v>
      </c>
    </row>
    <row r="57" spans="1:27" x14ac:dyDescent="0.2">
      <c r="A57" s="3">
        <v>75</v>
      </c>
      <c r="B57" s="3" t="s">
        <v>348</v>
      </c>
      <c r="C57" s="3">
        <v>2020</v>
      </c>
      <c r="D57" s="3">
        <v>0</v>
      </c>
      <c r="E57" s="3">
        <v>1</v>
      </c>
      <c r="F57" s="3"/>
      <c r="G57" s="3">
        <v>0</v>
      </c>
      <c r="H57" s="3">
        <v>1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3">
        <v>48276314</v>
      </c>
      <c r="O57" s="3">
        <v>1</v>
      </c>
    </row>
    <row r="58" spans="1:27" x14ac:dyDescent="0.2">
      <c r="A58" s="5">
        <v>2</v>
      </c>
      <c r="B58" s="5" t="s">
        <v>349</v>
      </c>
      <c r="C58" s="5" t="s">
        <v>350</v>
      </c>
      <c r="D58" s="5">
        <v>0</v>
      </c>
      <c r="E58" s="5">
        <v>0</v>
      </c>
    </row>
    <row r="59" spans="1:27" x14ac:dyDescent="0.2">
      <c r="A59" s="5">
        <v>1</v>
      </c>
      <c r="B59" s="5" t="s">
        <v>351</v>
      </c>
      <c r="C59" s="5" t="s">
        <v>352</v>
      </c>
      <c r="D59" s="5">
        <v>2020</v>
      </c>
      <c r="E59" s="5">
        <v>1</v>
      </c>
      <c r="F59" s="5">
        <v>1</v>
      </c>
      <c r="G59" s="5">
        <v>1</v>
      </c>
      <c r="H59" s="5">
        <v>0</v>
      </c>
      <c r="I59" s="5">
        <v>2</v>
      </c>
      <c r="J59" s="5">
        <v>1</v>
      </c>
      <c r="K59" s="5">
        <v>1</v>
      </c>
      <c r="L59" s="5">
        <v>1</v>
      </c>
      <c r="M59" s="5">
        <v>1</v>
      </c>
      <c r="N59" s="5">
        <v>1</v>
      </c>
      <c r="O59" s="5">
        <v>1</v>
      </c>
      <c r="P59" s="5">
        <v>1</v>
      </c>
      <c r="Q59" s="5">
        <v>1</v>
      </c>
      <c r="R59" s="5" t="s">
        <v>6</v>
      </c>
      <c r="S59" s="5" t="s">
        <v>6</v>
      </c>
      <c r="T59" s="5" t="s">
        <v>6</v>
      </c>
      <c r="U59" s="5" t="s">
        <v>6</v>
      </c>
      <c r="V59" s="5" t="s">
        <v>6</v>
      </c>
      <c r="W59" s="5" t="s">
        <v>6</v>
      </c>
      <c r="X59" s="5" t="s">
        <v>6</v>
      </c>
      <c r="Y59" s="5" t="s">
        <v>6</v>
      </c>
      <c r="Z59" s="5" t="s">
        <v>6</v>
      </c>
      <c r="AA59" s="5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48276314</v>
      </c>
      <c r="C1">
        <v>48276657</v>
      </c>
      <c r="D1">
        <v>18406804</v>
      </c>
      <c r="E1">
        <v>1</v>
      </c>
      <c r="F1">
        <v>1</v>
      </c>
      <c r="G1">
        <v>1</v>
      </c>
      <c r="H1">
        <v>1</v>
      </c>
      <c r="I1" t="s">
        <v>354</v>
      </c>
      <c r="J1" t="s">
        <v>6</v>
      </c>
      <c r="K1" t="s">
        <v>355</v>
      </c>
      <c r="L1">
        <v>1369</v>
      </c>
      <c r="N1">
        <v>1013</v>
      </c>
      <c r="O1" t="s">
        <v>356</v>
      </c>
      <c r="P1" t="s">
        <v>356</v>
      </c>
      <c r="Q1">
        <v>1</v>
      </c>
      <c r="W1">
        <v>0</v>
      </c>
      <c r="X1">
        <v>254330056</v>
      </c>
      <c r="Y1">
        <v>244.39799999999994</v>
      </c>
      <c r="AA1">
        <v>0</v>
      </c>
      <c r="AB1">
        <v>0</v>
      </c>
      <c r="AC1">
        <v>0</v>
      </c>
      <c r="AD1">
        <v>234.39</v>
      </c>
      <c r="AE1">
        <v>0</v>
      </c>
      <c r="AF1">
        <v>0</v>
      </c>
      <c r="AG1">
        <v>0</v>
      </c>
      <c r="AH1">
        <v>234.39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154</v>
      </c>
      <c r="AU1" t="s">
        <v>34</v>
      </c>
      <c r="AV1">
        <v>1</v>
      </c>
      <c r="AW1">
        <v>2</v>
      </c>
      <c r="AX1">
        <v>48276659</v>
      </c>
      <c r="AY1">
        <v>2</v>
      </c>
      <c r="AZ1">
        <v>131072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897.42945599999985</v>
      </c>
      <c r="CY1">
        <f>AD1</f>
        <v>234.39</v>
      </c>
      <c r="CZ1">
        <f>AH1</f>
        <v>234.39</v>
      </c>
      <c r="DA1">
        <f>AL1</f>
        <v>1</v>
      </c>
      <c r="DB1">
        <f>ROUND((((ROUND(AT1*CZ1,2)*1.2)*1.15)*1.15),2)</f>
        <v>57284.45</v>
      </c>
      <c r="DC1">
        <f>ROUND((((ROUND(AT1*AG1,2)*1.2)*1.15)*1.15),2)</f>
        <v>0</v>
      </c>
    </row>
    <row r="2" spans="1:107" x14ac:dyDescent="0.2">
      <c r="A2">
        <f>ROW(Source!A29)</f>
        <v>29</v>
      </c>
      <c r="B2">
        <v>48276314</v>
      </c>
      <c r="C2">
        <v>48276660</v>
      </c>
      <c r="D2">
        <v>18411579</v>
      </c>
      <c r="E2">
        <v>1</v>
      </c>
      <c r="F2">
        <v>1</v>
      </c>
      <c r="G2">
        <v>1</v>
      </c>
      <c r="H2">
        <v>1</v>
      </c>
      <c r="I2" t="s">
        <v>357</v>
      </c>
      <c r="J2" t="s">
        <v>6</v>
      </c>
      <c r="K2" t="s">
        <v>358</v>
      </c>
      <c r="L2">
        <v>1369</v>
      </c>
      <c r="N2">
        <v>1013</v>
      </c>
      <c r="O2" t="s">
        <v>356</v>
      </c>
      <c r="P2" t="s">
        <v>356</v>
      </c>
      <c r="Q2">
        <v>1</v>
      </c>
      <c r="W2">
        <v>0</v>
      </c>
      <c r="X2">
        <v>-1499016023</v>
      </c>
      <c r="Y2">
        <v>140.44949999999997</v>
      </c>
      <c r="AA2">
        <v>0</v>
      </c>
      <c r="AB2">
        <v>0</v>
      </c>
      <c r="AC2">
        <v>0</v>
      </c>
      <c r="AD2">
        <v>225.37</v>
      </c>
      <c r="AE2">
        <v>0</v>
      </c>
      <c r="AF2">
        <v>0</v>
      </c>
      <c r="AG2">
        <v>0</v>
      </c>
      <c r="AH2">
        <v>225.37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88.5</v>
      </c>
      <c r="AU2" t="s">
        <v>34</v>
      </c>
      <c r="AV2">
        <v>1</v>
      </c>
      <c r="AW2">
        <v>2</v>
      </c>
      <c r="AX2">
        <v>48276662</v>
      </c>
      <c r="AY2">
        <v>2</v>
      </c>
      <c r="AZ2">
        <v>131072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Y2*Source!I29</f>
        <v>354.26981879999994</v>
      </c>
      <c r="CY2">
        <f>AD2</f>
        <v>225.37</v>
      </c>
      <c r="CZ2">
        <f>AH2</f>
        <v>225.37</v>
      </c>
      <c r="DA2">
        <f>AL2</f>
        <v>1</v>
      </c>
      <c r="DB2">
        <f>ROUND((((ROUND(AT2*CZ2,2)*1.2)*1.15)*1.15),2)</f>
        <v>31653.11</v>
      </c>
      <c r="DC2">
        <f>ROUND((((ROUND(AT2*AG2,2)*1.2)*1.15)*1.15),2)</f>
        <v>0</v>
      </c>
    </row>
    <row r="3" spans="1:107" x14ac:dyDescent="0.2">
      <c r="A3">
        <f>ROW(Source!A30)</f>
        <v>30</v>
      </c>
      <c r="B3">
        <v>48276314</v>
      </c>
      <c r="C3">
        <v>48276663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40</v>
      </c>
      <c r="J3" t="s">
        <v>6</v>
      </c>
      <c r="K3" t="s">
        <v>359</v>
      </c>
      <c r="L3">
        <v>608254</v>
      </c>
      <c r="N3">
        <v>1013</v>
      </c>
      <c r="O3" t="s">
        <v>360</v>
      </c>
      <c r="P3" t="s">
        <v>360</v>
      </c>
      <c r="Q3">
        <v>1</v>
      </c>
      <c r="W3">
        <v>0</v>
      </c>
      <c r="X3">
        <v>-185737400</v>
      </c>
      <c r="Y3">
        <v>4.0019999999999993E-2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2.9000000000000001E-2</v>
      </c>
      <c r="AU3" t="s">
        <v>49</v>
      </c>
      <c r="AV3">
        <v>2</v>
      </c>
      <c r="AW3">
        <v>2</v>
      </c>
      <c r="AX3">
        <v>48276666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Y3*Source!I30</f>
        <v>8.0512235999999984</v>
      </c>
      <c r="CY3">
        <f>AD3</f>
        <v>0</v>
      </c>
      <c r="CZ3">
        <f>AH3</f>
        <v>0</v>
      </c>
      <c r="DA3">
        <f>AL3</f>
        <v>1</v>
      </c>
      <c r="DB3">
        <f>ROUND(((ROUND(AT3*CZ3,2)*1.2)*1.15),2)</f>
        <v>0</v>
      </c>
      <c r="DC3">
        <f>ROUND(((ROUND(AT3*AG3,2)*1.2)*1.15),2)</f>
        <v>0</v>
      </c>
    </row>
    <row r="4" spans="1:107" x14ac:dyDescent="0.2">
      <c r="A4">
        <f>ROW(Source!A30)</f>
        <v>30</v>
      </c>
      <c r="B4">
        <v>48276314</v>
      </c>
      <c r="C4">
        <v>48276663</v>
      </c>
      <c r="D4">
        <v>38769754</v>
      </c>
      <c r="E4">
        <v>1</v>
      </c>
      <c r="F4">
        <v>1</v>
      </c>
      <c r="G4">
        <v>1</v>
      </c>
      <c r="H4">
        <v>2</v>
      </c>
      <c r="I4" t="s">
        <v>361</v>
      </c>
      <c r="J4" t="s">
        <v>362</v>
      </c>
      <c r="K4" t="s">
        <v>363</v>
      </c>
      <c r="L4">
        <v>1368</v>
      </c>
      <c r="N4">
        <v>1011</v>
      </c>
      <c r="O4" t="s">
        <v>364</v>
      </c>
      <c r="P4" t="s">
        <v>364</v>
      </c>
      <c r="Q4">
        <v>1</v>
      </c>
      <c r="W4">
        <v>0</v>
      </c>
      <c r="X4">
        <v>-1122359650</v>
      </c>
      <c r="Y4">
        <v>4.0019999999999993E-2</v>
      </c>
      <c r="AA4">
        <v>0</v>
      </c>
      <c r="AB4">
        <v>1179.07</v>
      </c>
      <c r="AC4">
        <v>405.68</v>
      </c>
      <c r="AD4">
        <v>0</v>
      </c>
      <c r="AE4">
        <v>0</v>
      </c>
      <c r="AF4">
        <v>125.7</v>
      </c>
      <c r="AG4">
        <v>13.5</v>
      </c>
      <c r="AH4">
        <v>0</v>
      </c>
      <c r="AI4">
        <v>1</v>
      </c>
      <c r="AJ4">
        <v>9.3800000000000008</v>
      </c>
      <c r="AK4">
        <v>30.05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2.9000000000000001E-2</v>
      </c>
      <c r="AU4" t="s">
        <v>49</v>
      </c>
      <c r="AV4">
        <v>0</v>
      </c>
      <c r="AW4">
        <v>2</v>
      </c>
      <c r="AX4">
        <v>48276667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Y4*Source!I30</f>
        <v>8.0512235999999984</v>
      </c>
      <c r="CY4">
        <f>AB4</f>
        <v>1179.07</v>
      </c>
      <c r="CZ4">
        <f>AF4</f>
        <v>125.7</v>
      </c>
      <c r="DA4">
        <f>AJ4</f>
        <v>9.3800000000000008</v>
      </c>
      <c r="DB4">
        <f>ROUND(((ROUND(AT4*CZ4,2)*1.2)*1.15),2)</f>
        <v>5.04</v>
      </c>
      <c r="DC4">
        <f>ROUND(((ROUND(AT4*AG4,2)*1.2)*1.15),2)</f>
        <v>0.54</v>
      </c>
    </row>
    <row r="5" spans="1:107" x14ac:dyDescent="0.2">
      <c r="A5">
        <f>ROW(Source!A31)</f>
        <v>31</v>
      </c>
      <c r="B5">
        <v>48276314</v>
      </c>
      <c r="C5">
        <v>48276668</v>
      </c>
      <c r="D5">
        <v>38771297</v>
      </c>
      <c r="E5">
        <v>1</v>
      </c>
      <c r="F5">
        <v>1</v>
      </c>
      <c r="G5">
        <v>1</v>
      </c>
      <c r="H5">
        <v>2</v>
      </c>
      <c r="I5" t="s">
        <v>365</v>
      </c>
      <c r="J5" t="s">
        <v>366</v>
      </c>
      <c r="K5" t="s">
        <v>367</v>
      </c>
      <c r="L5">
        <v>1368</v>
      </c>
      <c r="N5">
        <v>1011</v>
      </c>
      <c r="O5" t="s">
        <v>364</v>
      </c>
      <c r="P5" t="s">
        <v>364</v>
      </c>
      <c r="Q5">
        <v>1</v>
      </c>
      <c r="W5">
        <v>0</v>
      </c>
      <c r="X5">
        <v>-965040433</v>
      </c>
      <c r="Y5">
        <v>0.154</v>
      </c>
      <c r="AA5">
        <v>0</v>
      </c>
      <c r="AB5">
        <v>961.62</v>
      </c>
      <c r="AC5">
        <v>405.68</v>
      </c>
      <c r="AD5">
        <v>0</v>
      </c>
      <c r="AE5">
        <v>0</v>
      </c>
      <c r="AF5">
        <v>112.47</v>
      </c>
      <c r="AG5">
        <v>13.5</v>
      </c>
      <c r="AH5">
        <v>0</v>
      </c>
      <c r="AI5">
        <v>1</v>
      </c>
      <c r="AJ5">
        <v>8.5500000000000007</v>
      </c>
      <c r="AK5">
        <v>30.05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0.154</v>
      </c>
      <c r="AU5" t="s">
        <v>6</v>
      </c>
      <c r="AV5">
        <v>0</v>
      </c>
      <c r="AW5">
        <v>2</v>
      </c>
      <c r="AX5">
        <v>48276670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Y5*Source!I31</f>
        <v>30.981719999999999</v>
      </c>
      <c r="CY5">
        <f>AB5</f>
        <v>961.62</v>
      </c>
      <c r="CZ5">
        <f>AF5</f>
        <v>112.47</v>
      </c>
      <c r="DA5">
        <f>AJ5</f>
        <v>8.5500000000000007</v>
      </c>
      <c r="DB5">
        <f>ROUND(ROUND(AT5*CZ5,2),2)</f>
        <v>17.32</v>
      </c>
      <c r="DC5">
        <f>ROUND(ROUND(AT5*AG5,2),2)</f>
        <v>2.08</v>
      </c>
    </row>
    <row r="6" spans="1:107" x14ac:dyDescent="0.2">
      <c r="A6">
        <f>ROW(Source!A32)</f>
        <v>32</v>
      </c>
      <c r="B6">
        <v>48276314</v>
      </c>
      <c r="C6">
        <v>48277294</v>
      </c>
      <c r="D6">
        <v>18410631</v>
      </c>
      <c r="E6">
        <v>1</v>
      </c>
      <c r="F6">
        <v>1</v>
      </c>
      <c r="G6">
        <v>1</v>
      </c>
      <c r="H6">
        <v>1</v>
      </c>
      <c r="I6" t="s">
        <v>368</v>
      </c>
      <c r="J6" t="s">
        <v>6</v>
      </c>
      <c r="K6" t="s">
        <v>369</v>
      </c>
      <c r="L6">
        <v>1369</v>
      </c>
      <c r="N6">
        <v>1013</v>
      </c>
      <c r="O6" t="s">
        <v>356</v>
      </c>
      <c r="P6" t="s">
        <v>356</v>
      </c>
      <c r="Q6">
        <v>1</v>
      </c>
      <c r="W6">
        <v>0</v>
      </c>
      <c r="X6">
        <v>-1896518065</v>
      </c>
      <c r="Y6">
        <v>228.52799999999993</v>
      </c>
      <c r="AA6">
        <v>0</v>
      </c>
      <c r="AB6">
        <v>0</v>
      </c>
      <c r="AC6">
        <v>0</v>
      </c>
      <c r="AD6">
        <v>254.22</v>
      </c>
      <c r="AE6">
        <v>0</v>
      </c>
      <c r="AF6">
        <v>0</v>
      </c>
      <c r="AG6">
        <v>0</v>
      </c>
      <c r="AH6">
        <v>254.22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6</v>
      </c>
      <c r="AT6">
        <v>144</v>
      </c>
      <c r="AU6" t="s">
        <v>34</v>
      </c>
      <c r="AV6">
        <v>1</v>
      </c>
      <c r="AW6">
        <v>2</v>
      </c>
      <c r="AX6">
        <v>48277300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Y6*Source!I32</f>
        <v>13.711679999999996</v>
      </c>
      <c r="CY6">
        <f>AD6</f>
        <v>254.22</v>
      </c>
      <c r="CZ6">
        <f>AH6</f>
        <v>254.22</v>
      </c>
      <c r="DA6">
        <f>AL6</f>
        <v>1</v>
      </c>
      <c r="DB6">
        <f>ROUND((((ROUND(AT6*CZ6,2)*1.2)*1.15)*1.15),2)</f>
        <v>58096.39</v>
      </c>
      <c r="DC6">
        <f>ROUND((((ROUND(AT6*AG6,2)*1.2)*1.15)*1.15),2)</f>
        <v>0</v>
      </c>
    </row>
    <row r="7" spans="1:107" x14ac:dyDescent="0.2">
      <c r="A7">
        <f>ROW(Source!A32)</f>
        <v>32</v>
      </c>
      <c r="B7">
        <v>48276314</v>
      </c>
      <c r="C7">
        <v>48277294</v>
      </c>
      <c r="D7">
        <v>29107376</v>
      </c>
      <c r="E7">
        <v>1</v>
      </c>
      <c r="F7">
        <v>1</v>
      </c>
      <c r="G7">
        <v>1</v>
      </c>
      <c r="H7">
        <v>3</v>
      </c>
      <c r="I7" t="s">
        <v>370</v>
      </c>
      <c r="J7" t="s">
        <v>371</v>
      </c>
      <c r="K7" t="s">
        <v>372</v>
      </c>
      <c r="L7">
        <v>1301</v>
      </c>
      <c r="N7">
        <v>1003</v>
      </c>
      <c r="O7" t="s">
        <v>105</v>
      </c>
      <c r="P7" t="s">
        <v>105</v>
      </c>
      <c r="Q7">
        <v>1</v>
      </c>
      <c r="W7">
        <v>0</v>
      </c>
      <c r="X7">
        <v>737915816</v>
      </c>
      <c r="Y7">
        <v>990</v>
      </c>
      <c r="AA7">
        <v>86.3</v>
      </c>
      <c r="AB7">
        <v>0</v>
      </c>
      <c r="AC7">
        <v>0</v>
      </c>
      <c r="AD7">
        <v>0</v>
      </c>
      <c r="AE7">
        <v>14.48</v>
      </c>
      <c r="AF7">
        <v>0</v>
      </c>
      <c r="AG7">
        <v>0</v>
      </c>
      <c r="AH7">
        <v>0</v>
      </c>
      <c r="AI7">
        <v>5.96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990</v>
      </c>
      <c r="AU7" t="s">
        <v>6</v>
      </c>
      <c r="AV7">
        <v>0</v>
      </c>
      <c r="AW7">
        <v>2</v>
      </c>
      <c r="AX7">
        <v>48277301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Y7*Source!I32</f>
        <v>59.4</v>
      </c>
      <c r="CY7">
        <f>AA7</f>
        <v>86.3</v>
      </c>
      <c r="CZ7">
        <f>AE7</f>
        <v>14.48</v>
      </c>
      <c r="DA7">
        <f>AI7</f>
        <v>5.96</v>
      </c>
      <c r="DB7">
        <f>ROUND(ROUND(AT7*CZ7,2),2)</f>
        <v>14335.2</v>
      </c>
      <c r="DC7">
        <f>ROUND(ROUND(AT7*AG7,2),2)</f>
        <v>0</v>
      </c>
    </row>
    <row r="8" spans="1:107" x14ac:dyDescent="0.2">
      <c r="A8">
        <f>ROW(Source!A32)</f>
        <v>32</v>
      </c>
      <c r="B8">
        <v>48276314</v>
      </c>
      <c r="C8">
        <v>48277294</v>
      </c>
      <c r="D8">
        <v>29115187</v>
      </c>
      <c r="E8">
        <v>1</v>
      </c>
      <c r="F8">
        <v>1</v>
      </c>
      <c r="G8">
        <v>1</v>
      </c>
      <c r="H8">
        <v>3</v>
      </c>
      <c r="I8" t="s">
        <v>373</v>
      </c>
      <c r="J8" t="s">
        <v>374</v>
      </c>
      <c r="K8" t="s">
        <v>375</v>
      </c>
      <c r="L8">
        <v>1339</v>
      </c>
      <c r="N8">
        <v>1007</v>
      </c>
      <c r="O8" t="s">
        <v>191</v>
      </c>
      <c r="P8" t="s">
        <v>191</v>
      </c>
      <c r="Q8">
        <v>1</v>
      </c>
      <c r="W8">
        <v>0</v>
      </c>
      <c r="X8">
        <v>-468662198</v>
      </c>
      <c r="Y8">
        <v>0.3</v>
      </c>
      <c r="AA8">
        <v>1825.68</v>
      </c>
      <c r="AB8">
        <v>0</v>
      </c>
      <c r="AC8">
        <v>0</v>
      </c>
      <c r="AD8">
        <v>0</v>
      </c>
      <c r="AE8">
        <v>239.59</v>
      </c>
      <c r="AF8">
        <v>0</v>
      </c>
      <c r="AG8">
        <v>0</v>
      </c>
      <c r="AH8">
        <v>0</v>
      </c>
      <c r="AI8">
        <v>7.62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0.3</v>
      </c>
      <c r="AU8" t="s">
        <v>6</v>
      </c>
      <c r="AV8">
        <v>0</v>
      </c>
      <c r="AW8">
        <v>2</v>
      </c>
      <c r="AX8">
        <v>48277302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Y8*Source!I32</f>
        <v>1.7999999999999999E-2</v>
      </c>
      <c r="CY8">
        <f>AA8</f>
        <v>1825.68</v>
      </c>
      <c r="CZ8">
        <f>AE8</f>
        <v>239.59</v>
      </c>
      <c r="DA8">
        <f>AI8</f>
        <v>7.62</v>
      </c>
      <c r="DB8">
        <f>ROUND(ROUND(AT8*CZ8,2),2)</f>
        <v>71.88</v>
      </c>
      <c r="DC8">
        <f>ROUND(ROUND(AT8*AG8,2),2)</f>
        <v>0</v>
      </c>
    </row>
    <row r="9" spans="1:107" x14ac:dyDescent="0.2">
      <c r="A9">
        <f>ROW(Source!A32)</f>
        <v>32</v>
      </c>
      <c r="B9">
        <v>48276314</v>
      </c>
      <c r="C9">
        <v>48277294</v>
      </c>
      <c r="D9">
        <v>29162412</v>
      </c>
      <c r="E9">
        <v>1</v>
      </c>
      <c r="F9">
        <v>1</v>
      </c>
      <c r="G9">
        <v>1</v>
      </c>
      <c r="H9">
        <v>3</v>
      </c>
      <c r="I9" t="s">
        <v>376</v>
      </c>
      <c r="J9" t="s">
        <v>377</v>
      </c>
      <c r="K9" t="s">
        <v>378</v>
      </c>
      <c r="L9">
        <v>1358</v>
      </c>
      <c r="N9">
        <v>1010</v>
      </c>
      <c r="O9" t="s">
        <v>97</v>
      </c>
      <c r="P9" t="s">
        <v>97</v>
      </c>
      <c r="Q9">
        <v>10</v>
      </c>
      <c r="W9">
        <v>0</v>
      </c>
      <c r="X9">
        <v>-178344845</v>
      </c>
      <c r="Y9">
        <v>32</v>
      </c>
      <c r="AA9">
        <v>210.82</v>
      </c>
      <c r="AB9">
        <v>0</v>
      </c>
      <c r="AC9">
        <v>0</v>
      </c>
      <c r="AD9">
        <v>0</v>
      </c>
      <c r="AE9">
        <v>43.83</v>
      </c>
      <c r="AF9">
        <v>0</v>
      </c>
      <c r="AG9">
        <v>0</v>
      </c>
      <c r="AH9">
        <v>0</v>
      </c>
      <c r="AI9">
        <v>4.8099999999999996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32</v>
      </c>
      <c r="AU9" t="s">
        <v>6</v>
      </c>
      <c r="AV9">
        <v>0</v>
      </c>
      <c r="AW9">
        <v>2</v>
      </c>
      <c r="AX9">
        <v>48277303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1.92</v>
      </c>
      <c r="CY9">
        <f>AA9</f>
        <v>210.82</v>
      </c>
      <c r="CZ9">
        <f>AE9</f>
        <v>43.83</v>
      </c>
      <c r="DA9">
        <f>AI9</f>
        <v>4.8099999999999996</v>
      </c>
      <c r="DB9">
        <f>ROUND(ROUND(AT9*CZ9,2),2)</f>
        <v>1402.56</v>
      </c>
      <c r="DC9">
        <f>ROUND(ROUND(AT9*AG9,2),2)</f>
        <v>0</v>
      </c>
    </row>
    <row r="10" spans="1:107" x14ac:dyDescent="0.2">
      <c r="A10">
        <f>ROW(Source!A32)</f>
        <v>32</v>
      </c>
      <c r="B10">
        <v>48276314</v>
      </c>
      <c r="C10">
        <v>48277294</v>
      </c>
      <c r="D10">
        <v>29170735</v>
      </c>
      <c r="E10">
        <v>1</v>
      </c>
      <c r="F10">
        <v>1</v>
      </c>
      <c r="G10">
        <v>1</v>
      </c>
      <c r="H10">
        <v>3</v>
      </c>
      <c r="I10" t="s">
        <v>379</v>
      </c>
      <c r="J10" t="s">
        <v>380</v>
      </c>
      <c r="K10" t="s">
        <v>381</v>
      </c>
      <c r="L10">
        <v>1355</v>
      </c>
      <c r="N10">
        <v>1010</v>
      </c>
      <c r="O10" t="s">
        <v>225</v>
      </c>
      <c r="P10" t="s">
        <v>225</v>
      </c>
      <c r="Q10">
        <v>100</v>
      </c>
      <c r="W10">
        <v>0</v>
      </c>
      <c r="X10">
        <v>-1369228791</v>
      </c>
      <c r="Y10">
        <v>0.2</v>
      </c>
      <c r="AA10">
        <v>1840</v>
      </c>
      <c r="AB10">
        <v>0</v>
      </c>
      <c r="AC10">
        <v>0</v>
      </c>
      <c r="AD10">
        <v>0</v>
      </c>
      <c r="AE10">
        <v>400</v>
      </c>
      <c r="AF10">
        <v>0</v>
      </c>
      <c r="AG10">
        <v>0</v>
      </c>
      <c r="AH10">
        <v>0</v>
      </c>
      <c r="AI10">
        <v>4.5999999999999996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0.2</v>
      </c>
      <c r="AU10" t="s">
        <v>6</v>
      </c>
      <c r="AV10">
        <v>0</v>
      </c>
      <c r="AW10">
        <v>2</v>
      </c>
      <c r="AX10">
        <v>48277304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1.2E-2</v>
      </c>
      <c r="CY10">
        <f>AA10</f>
        <v>1840</v>
      </c>
      <c r="CZ10">
        <f>AE10</f>
        <v>400</v>
      </c>
      <c r="DA10">
        <f>AI10</f>
        <v>4.5999999999999996</v>
      </c>
      <c r="DB10">
        <f>ROUND(ROUND(AT10*CZ10,2),2)</f>
        <v>80</v>
      </c>
      <c r="DC10">
        <f>ROUND(ROUND(AT10*AG10,2),2)</f>
        <v>0</v>
      </c>
    </row>
    <row r="11" spans="1:107" x14ac:dyDescent="0.2">
      <c r="A11">
        <f>ROW(Source!A33)</f>
        <v>33</v>
      </c>
      <c r="B11">
        <v>48276314</v>
      </c>
      <c r="C11">
        <v>48277305</v>
      </c>
      <c r="D11">
        <v>29362666</v>
      </c>
      <c r="E11">
        <v>1</v>
      </c>
      <c r="F11">
        <v>1</v>
      </c>
      <c r="G11">
        <v>1</v>
      </c>
      <c r="H11">
        <v>1</v>
      </c>
      <c r="I11" t="s">
        <v>382</v>
      </c>
      <c r="J11" t="s">
        <v>6</v>
      </c>
      <c r="K11" t="s">
        <v>383</v>
      </c>
      <c r="L11">
        <v>1369</v>
      </c>
      <c r="N11">
        <v>1013</v>
      </c>
      <c r="O11" t="s">
        <v>356</v>
      </c>
      <c r="P11" t="s">
        <v>356</v>
      </c>
      <c r="Q11">
        <v>1</v>
      </c>
      <c r="W11">
        <v>0</v>
      </c>
      <c r="X11">
        <v>1692428451</v>
      </c>
      <c r="Y11">
        <v>0.75900000000000001</v>
      </c>
      <c r="AA11">
        <v>0</v>
      </c>
      <c r="AB11">
        <v>0</v>
      </c>
      <c r="AC11">
        <v>0</v>
      </c>
      <c r="AD11">
        <v>279.16000000000003</v>
      </c>
      <c r="AE11">
        <v>0</v>
      </c>
      <c r="AF11">
        <v>0</v>
      </c>
      <c r="AG11">
        <v>0</v>
      </c>
      <c r="AH11">
        <v>279.16000000000003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0.55000000000000004</v>
      </c>
      <c r="AU11" t="s">
        <v>49</v>
      </c>
      <c r="AV11">
        <v>1</v>
      </c>
      <c r="AW11">
        <v>2</v>
      </c>
      <c r="AX11">
        <v>48277310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Y11*Source!I33</f>
        <v>7.59</v>
      </c>
      <c r="CY11">
        <f>AD11</f>
        <v>279.16000000000003</v>
      </c>
      <c r="CZ11">
        <f>AH11</f>
        <v>279.16000000000003</v>
      </c>
      <c r="DA11">
        <f>AL11</f>
        <v>1</v>
      </c>
      <c r="DB11">
        <f>ROUND(((ROUND(AT11*CZ11,2)*1.2)*1.15),2)</f>
        <v>211.89</v>
      </c>
      <c r="DC11">
        <f>ROUND(((ROUND(AT11*AG11,2)*1.2)*1.15),2)</f>
        <v>0</v>
      </c>
    </row>
    <row r="12" spans="1:107" x14ac:dyDescent="0.2">
      <c r="A12">
        <f>ROW(Source!A33)</f>
        <v>33</v>
      </c>
      <c r="B12">
        <v>48276314</v>
      </c>
      <c r="C12">
        <v>48277305</v>
      </c>
      <c r="D12">
        <v>29122534</v>
      </c>
      <c r="E12">
        <v>1</v>
      </c>
      <c r="F12">
        <v>1</v>
      </c>
      <c r="G12">
        <v>1</v>
      </c>
      <c r="H12">
        <v>3</v>
      </c>
      <c r="I12" t="s">
        <v>79</v>
      </c>
      <c r="J12" t="s">
        <v>82</v>
      </c>
      <c r="K12" t="s">
        <v>80</v>
      </c>
      <c r="L12">
        <v>1354</v>
      </c>
      <c r="N12">
        <v>1010</v>
      </c>
      <c r="O12" t="s">
        <v>81</v>
      </c>
      <c r="P12" t="s">
        <v>81</v>
      </c>
      <c r="Q12">
        <v>1</v>
      </c>
      <c r="W12">
        <v>1</v>
      </c>
      <c r="X12">
        <v>-29388401</v>
      </c>
      <c r="Y12">
        <v>-2</v>
      </c>
      <c r="AA12">
        <v>194.04</v>
      </c>
      <c r="AB12">
        <v>0</v>
      </c>
      <c r="AC12">
        <v>0</v>
      </c>
      <c r="AD12">
        <v>0</v>
      </c>
      <c r="AE12">
        <v>66.680000000000007</v>
      </c>
      <c r="AF12">
        <v>0</v>
      </c>
      <c r="AG12">
        <v>0</v>
      </c>
      <c r="AH12">
        <v>0</v>
      </c>
      <c r="AI12">
        <v>2.91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-2</v>
      </c>
      <c r="AU12" t="s">
        <v>6</v>
      </c>
      <c r="AV12">
        <v>0</v>
      </c>
      <c r="AW12">
        <v>2</v>
      </c>
      <c r="AX12">
        <v>48277311</v>
      </c>
      <c r="AY12">
        <v>1</v>
      </c>
      <c r="AZ12">
        <v>6144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Y12*Source!I33</f>
        <v>-20</v>
      </c>
      <c r="CY12">
        <f>AA12</f>
        <v>194.04</v>
      </c>
      <c r="CZ12">
        <f>AE12</f>
        <v>66.680000000000007</v>
      </c>
      <c r="DA12">
        <f>AI12</f>
        <v>2.91</v>
      </c>
      <c r="DB12">
        <f>ROUND(ROUND(AT12*CZ12,2),2)</f>
        <v>-133.36000000000001</v>
      </c>
      <c r="DC12">
        <f>ROUND(ROUND(AT12*AG12,2),2)</f>
        <v>0</v>
      </c>
    </row>
    <row r="13" spans="1:107" x14ac:dyDescent="0.2">
      <c r="A13">
        <f>ROW(Source!A33)</f>
        <v>33</v>
      </c>
      <c r="B13">
        <v>48276314</v>
      </c>
      <c r="C13">
        <v>48277305</v>
      </c>
      <c r="D13">
        <v>43249550</v>
      </c>
      <c r="E13">
        <v>1</v>
      </c>
      <c r="F13">
        <v>1</v>
      </c>
      <c r="G13">
        <v>1</v>
      </c>
      <c r="H13">
        <v>3</v>
      </c>
      <c r="I13" t="s">
        <v>84</v>
      </c>
      <c r="J13" t="s">
        <v>86</v>
      </c>
      <c r="K13" t="s">
        <v>85</v>
      </c>
      <c r="L13">
        <v>1354</v>
      </c>
      <c r="N13">
        <v>1010</v>
      </c>
      <c r="O13" t="s">
        <v>81</v>
      </c>
      <c r="P13" t="s">
        <v>81</v>
      </c>
      <c r="Q13">
        <v>1</v>
      </c>
      <c r="W13">
        <v>0</v>
      </c>
      <c r="X13">
        <v>356919503</v>
      </c>
      <c r="Y13">
        <v>2</v>
      </c>
      <c r="AA13">
        <v>352.18</v>
      </c>
      <c r="AB13">
        <v>0</v>
      </c>
      <c r="AC13">
        <v>0</v>
      </c>
      <c r="AD13">
        <v>0</v>
      </c>
      <c r="AE13">
        <v>352.18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6</v>
      </c>
      <c r="AT13">
        <v>2</v>
      </c>
      <c r="AU13" t="s">
        <v>6</v>
      </c>
      <c r="AV13">
        <v>0</v>
      </c>
      <c r="AW13">
        <v>1</v>
      </c>
      <c r="AX13">
        <v>-1</v>
      </c>
      <c r="AY13">
        <v>0</v>
      </c>
      <c r="AZ13">
        <v>0</v>
      </c>
      <c r="BA13" t="s">
        <v>6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20</v>
      </c>
      <c r="CY13">
        <f>AA13</f>
        <v>352.18</v>
      </c>
      <c r="CZ13">
        <f>AE13</f>
        <v>352.18</v>
      </c>
      <c r="DA13">
        <f>AI13</f>
        <v>1</v>
      </c>
      <c r="DB13">
        <f>ROUND(ROUND(AT13*CZ13,2),2)</f>
        <v>704.36</v>
      </c>
      <c r="DC13">
        <f>ROUND(ROUND(AT13*AG13,2),2)</f>
        <v>0</v>
      </c>
    </row>
    <row r="14" spans="1:107" x14ac:dyDescent="0.2">
      <c r="A14">
        <f>ROW(Source!A33)</f>
        <v>33</v>
      </c>
      <c r="B14">
        <v>48276314</v>
      </c>
      <c r="C14">
        <v>48277305</v>
      </c>
      <c r="D14">
        <v>29171808</v>
      </c>
      <c r="E14">
        <v>1</v>
      </c>
      <c r="F14">
        <v>1</v>
      </c>
      <c r="G14">
        <v>1</v>
      </c>
      <c r="H14">
        <v>3</v>
      </c>
      <c r="I14" t="s">
        <v>384</v>
      </c>
      <c r="J14" t="s">
        <v>385</v>
      </c>
      <c r="K14" t="s">
        <v>386</v>
      </c>
      <c r="L14">
        <v>1374</v>
      </c>
      <c r="N14">
        <v>1013</v>
      </c>
      <c r="O14" t="s">
        <v>387</v>
      </c>
      <c r="P14" t="s">
        <v>387</v>
      </c>
      <c r="Q14">
        <v>1</v>
      </c>
      <c r="W14">
        <v>0</v>
      </c>
      <c r="X14">
        <v>-915781824</v>
      </c>
      <c r="Y14">
        <v>0.1</v>
      </c>
      <c r="AA14">
        <v>1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0.1</v>
      </c>
      <c r="AU14" t="s">
        <v>6</v>
      </c>
      <c r="AV14">
        <v>0</v>
      </c>
      <c r="AW14">
        <v>2</v>
      </c>
      <c r="AX14">
        <v>48277312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Y14*Source!I33</f>
        <v>1</v>
      </c>
      <c r="CY14">
        <f>AA14</f>
        <v>1</v>
      </c>
      <c r="CZ14">
        <f>AE14</f>
        <v>1</v>
      </c>
      <c r="DA14">
        <f>AI14</f>
        <v>1</v>
      </c>
      <c r="DB14">
        <f>ROUND(ROUND(AT14*CZ14,2),2)</f>
        <v>0.1</v>
      </c>
      <c r="DC14">
        <f>ROUND(ROUND(AT14*AG14,2),2)</f>
        <v>0</v>
      </c>
    </row>
    <row r="15" spans="1:107" x14ac:dyDescent="0.2">
      <c r="A15">
        <f>ROW(Source!A36)</f>
        <v>36</v>
      </c>
      <c r="B15">
        <v>48276314</v>
      </c>
      <c r="C15">
        <v>48277416</v>
      </c>
      <c r="D15">
        <v>29361034</v>
      </c>
      <c r="E15">
        <v>1</v>
      </c>
      <c r="F15">
        <v>1</v>
      </c>
      <c r="G15">
        <v>1</v>
      </c>
      <c r="H15">
        <v>1</v>
      </c>
      <c r="I15" t="s">
        <v>388</v>
      </c>
      <c r="J15" t="s">
        <v>6</v>
      </c>
      <c r="K15" t="s">
        <v>389</v>
      </c>
      <c r="L15">
        <v>1369</v>
      </c>
      <c r="N15">
        <v>1013</v>
      </c>
      <c r="O15" t="s">
        <v>356</v>
      </c>
      <c r="P15" t="s">
        <v>356</v>
      </c>
      <c r="Q15">
        <v>1</v>
      </c>
      <c r="W15">
        <v>0</v>
      </c>
      <c r="X15">
        <v>184923391</v>
      </c>
      <c r="Y15">
        <v>60.167999999999992</v>
      </c>
      <c r="AA15">
        <v>0</v>
      </c>
      <c r="AB15">
        <v>0</v>
      </c>
      <c r="AC15">
        <v>0</v>
      </c>
      <c r="AD15">
        <v>282.47000000000003</v>
      </c>
      <c r="AE15">
        <v>0</v>
      </c>
      <c r="AF15">
        <v>0</v>
      </c>
      <c r="AG15">
        <v>0</v>
      </c>
      <c r="AH15">
        <v>282.47000000000003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43.6</v>
      </c>
      <c r="AU15" t="s">
        <v>49</v>
      </c>
      <c r="AV15">
        <v>1</v>
      </c>
      <c r="AW15">
        <v>2</v>
      </c>
      <c r="AX15">
        <v>48277429</v>
      </c>
      <c r="AY15">
        <v>1</v>
      </c>
      <c r="AZ15">
        <v>0</v>
      </c>
      <c r="BA15">
        <v>14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Y15*Source!I36</f>
        <v>60.167999999999992</v>
      </c>
      <c r="CY15">
        <f>AD15</f>
        <v>282.47000000000003</v>
      </c>
      <c r="CZ15">
        <f>AH15</f>
        <v>282.47000000000003</v>
      </c>
      <c r="DA15">
        <f>AL15</f>
        <v>1</v>
      </c>
      <c r="DB15">
        <f>ROUND(((ROUND(AT15*CZ15,2)*1.2)*1.15),2)</f>
        <v>16995.650000000001</v>
      </c>
      <c r="DC15">
        <f>ROUND(((ROUND(AT15*AG15,2)*1.2)*1.15),2)</f>
        <v>0</v>
      </c>
    </row>
    <row r="16" spans="1:107" x14ac:dyDescent="0.2">
      <c r="A16">
        <f>ROW(Source!A36)</f>
        <v>36</v>
      </c>
      <c r="B16">
        <v>48276314</v>
      </c>
      <c r="C16">
        <v>48277416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40</v>
      </c>
      <c r="J16" t="s">
        <v>6</v>
      </c>
      <c r="K16" t="s">
        <v>359</v>
      </c>
      <c r="L16">
        <v>608254</v>
      </c>
      <c r="N16">
        <v>1013</v>
      </c>
      <c r="O16" t="s">
        <v>360</v>
      </c>
      <c r="P16" t="s">
        <v>360</v>
      </c>
      <c r="Q16">
        <v>1</v>
      </c>
      <c r="W16">
        <v>0</v>
      </c>
      <c r="X16">
        <v>-185737400</v>
      </c>
      <c r="Y16">
        <v>2.0837999999999997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6</v>
      </c>
      <c r="AT16">
        <v>1.51</v>
      </c>
      <c r="AU16" t="s">
        <v>49</v>
      </c>
      <c r="AV16">
        <v>2</v>
      </c>
      <c r="AW16">
        <v>2</v>
      </c>
      <c r="AX16">
        <v>48277430</v>
      </c>
      <c r="AY16">
        <v>1</v>
      </c>
      <c r="AZ16">
        <v>0</v>
      </c>
      <c r="BA16">
        <v>15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Y16*Source!I36</f>
        <v>2.0837999999999997</v>
      </c>
      <c r="CY16">
        <f>AD16</f>
        <v>0</v>
      </c>
      <c r="CZ16">
        <f>AH16</f>
        <v>0</v>
      </c>
      <c r="DA16">
        <f>AL16</f>
        <v>1</v>
      </c>
      <c r="DB16">
        <f>ROUND(((ROUND(AT16*CZ16,2)*1.2)*1.15),2)</f>
        <v>0</v>
      </c>
      <c r="DC16">
        <f>ROUND(((ROUND(AT16*AG16,2)*1.2)*1.15),2)</f>
        <v>0</v>
      </c>
    </row>
    <row r="17" spans="1:107" x14ac:dyDescent="0.2">
      <c r="A17">
        <f>ROW(Source!A36)</f>
        <v>36</v>
      </c>
      <c r="B17">
        <v>48276314</v>
      </c>
      <c r="C17">
        <v>48277416</v>
      </c>
      <c r="D17">
        <v>29172362</v>
      </c>
      <c r="E17">
        <v>1</v>
      </c>
      <c r="F17">
        <v>1</v>
      </c>
      <c r="G17">
        <v>1</v>
      </c>
      <c r="H17">
        <v>2</v>
      </c>
      <c r="I17" t="s">
        <v>390</v>
      </c>
      <c r="J17" t="s">
        <v>391</v>
      </c>
      <c r="K17" t="s">
        <v>392</v>
      </c>
      <c r="L17">
        <v>1368</v>
      </c>
      <c r="N17">
        <v>1011</v>
      </c>
      <c r="O17" t="s">
        <v>364</v>
      </c>
      <c r="P17" t="s">
        <v>364</v>
      </c>
      <c r="Q17">
        <v>1</v>
      </c>
      <c r="W17">
        <v>0</v>
      </c>
      <c r="X17">
        <v>783836208</v>
      </c>
      <c r="Y17">
        <v>2.0837999999999997</v>
      </c>
      <c r="AA17">
        <v>0</v>
      </c>
      <c r="AB17">
        <v>1058.3499999999999</v>
      </c>
      <c r="AC17">
        <v>405.68</v>
      </c>
      <c r="AD17">
        <v>0</v>
      </c>
      <c r="AE17">
        <v>0</v>
      </c>
      <c r="AF17">
        <v>134.65</v>
      </c>
      <c r="AG17">
        <v>13.5</v>
      </c>
      <c r="AH17">
        <v>0</v>
      </c>
      <c r="AI17">
        <v>1</v>
      </c>
      <c r="AJ17">
        <v>7.86</v>
      </c>
      <c r="AK17">
        <v>30.05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6</v>
      </c>
      <c r="AT17">
        <v>1.51</v>
      </c>
      <c r="AU17" t="s">
        <v>49</v>
      </c>
      <c r="AV17">
        <v>0</v>
      </c>
      <c r="AW17">
        <v>2</v>
      </c>
      <c r="AX17">
        <v>48277431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Y17*Source!I36</f>
        <v>2.0837999999999997</v>
      </c>
      <c r="CY17">
        <f>AB17</f>
        <v>1058.3499999999999</v>
      </c>
      <c r="CZ17">
        <f>AF17</f>
        <v>134.65</v>
      </c>
      <c r="DA17">
        <f>AJ17</f>
        <v>7.86</v>
      </c>
      <c r="DB17">
        <f>ROUND(((ROUND(AT17*CZ17,2)*1.2)*1.15),2)</f>
        <v>280.58</v>
      </c>
      <c r="DC17">
        <f>ROUND(((ROUND(AT17*AG17,2)*1.2)*1.15),2)</f>
        <v>28.14</v>
      </c>
    </row>
    <row r="18" spans="1:107" x14ac:dyDescent="0.2">
      <c r="A18">
        <f>ROW(Source!A36)</f>
        <v>36</v>
      </c>
      <c r="B18">
        <v>48276314</v>
      </c>
      <c r="C18">
        <v>48277416</v>
      </c>
      <c r="D18">
        <v>29172657</v>
      </c>
      <c r="E18">
        <v>1</v>
      </c>
      <c r="F18">
        <v>1</v>
      </c>
      <c r="G18">
        <v>1</v>
      </c>
      <c r="H18">
        <v>2</v>
      </c>
      <c r="I18" t="s">
        <v>393</v>
      </c>
      <c r="J18" t="s">
        <v>394</v>
      </c>
      <c r="K18" t="s">
        <v>395</v>
      </c>
      <c r="L18">
        <v>1368</v>
      </c>
      <c r="N18">
        <v>1011</v>
      </c>
      <c r="O18" t="s">
        <v>364</v>
      </c>
      <c r="P18" t="s">
        <v>364</v>
      </c>
      <c r="Q18">
        <v>1</v>
      </c>
      <c r="W18">
        <v>0</v>
      </c>
      <c r="X18">
        <v>1474986261</v>
      </c>
      <c r="Y18">
        <v>4.6919999999999993</v>
      </c>
      <c r="AA18">
        <v>0</v>
      </c>
      <c r="AB18">
        <v>58.48</v>
      </c>
      <c r="AC18">
        <v>0</v>
      </c>
      <c r="AD18">
        <v>0</v>
      </c>
      <c r="AE18">
        <v>0</v>
      </c>
      <c r="AF18">
        <v>8.1</v>
      </c>
      <c r="AG18">
        <v>0</v>
      </c>
      <c r="AH18">
        <v>0</v>
      </c>
      <c r="AI18">
        <v>1</v>
      </c>
      <c r="AJ18">
        <v>7.22</v>
      </c>
      <c r="AK18">
        <v>30.05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6</v>
      </c>
      <c r="AT18">
        <v>3.4</v>
      </c>
      <c r="AU18" t="s">
        <v>49</v>
      </c>
      <c r="AV18">
        <v>0</v>
      </c>
      <c r="AW18">
        <v>2</v>
      </c>
      <c r="AX18">
        <v>48277432</v>
      </c>
      <c r="AY18">
        <v>1</v>
      </c>
      <c r="AZ18">
        <v>0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Y18*Source!I36</f>
        <v>4.6919999999999993</v>
      </c>
      <c r="CY18">
        <f>AB18</f>
        <v>58.48</v>
      </c>
      <c r="CZ18">
        <f>AF18</f>
        <v>8.1</v>
      </c>
      <c r="DA18">
        <f>AJ18</f>
        <v>7.22</v>
      </c>
      <c r="DB18">
        <f>ROUND(((ROUND(AT18*CZ18,2)*1.2)*1.15),2)</f>
        <v>38.01</v>
      </c>
      <c r="DC18">
        <f>ROUND(((ROUND(AT18*AG18,2)*1.2)*1.15),2)</f>
        <v>0</v>
      </c>
    </row>
    <row r="19" spans="1:107" x14ac:dyDescent="0.2">
      <c r="A19">
        <f>ROW(Source!A36)</f>
        <v>36</v>
      </c>
      <c r="B19">
        <v>48276314</v>
      </c>
      <c r="C19">
        <v>48277416</v>
      </c>
      <c r="D19">
        <v>29174913</v>
      </c>
      <c r="E19">
        <v>1</v>
      </c>
      <c r="F19">
        <v>1</v>
      </c>
      <c r="G19">
        <v>1</v>
      </c>
      <c r="H19">
        <v>2</v>
      </c>
      <c r="I19" t="s">
        <v>396</v>
      </c>
      <c r="J19" t="s">
        <v>397</v>
      </c>
      <c r="K19" t="s">
        <v>398</v>
      </c>
      <c r="L19">
        <v>1368</v>
      </c>
      <c r="N19">
        <v>1011</v>
      </c>
      <c r="O19" t="s">
        <v>364</v>
      </c>
      <c r="P19" t="s">
        <v>364</v>
      </c>
      <c r="Q19">
        <v>1</v>
      </c>
      <c r="W19">
        <v>0</v>
      </c>
      <c r="X19">
        <v>1230759911</v>
      </c>
      <c r="Y19">
        <v>2.0837999999999997</v>
      </c>
      <c r="AA19">
        <v>0</v>
      </c>
      <c r="AB19">
        <v>887.39</v>
      </c>
      <c r="AC19">
        <v>348.58</v>
      </c>
      <c r="AD19">
        <v>0</v>
      </c>
      <c r="AE19">
        <v>0</v>
      </c>
      <c r="AF19">
        <v>87.17</v>
      </c>
      <c r="AG19">
        <v>11.6</v>
      </c>
      <c r="AH19">
        <v>0</v>
      </c>
      <c r="AI19">
        <v>1</v>
      </c>
      <c r="AJ19">
        <v>10.18</v>
      </c>
      <c r="AK19">
        <v>30.05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1.51</v>
      </c>
      <c r="AU19" t="s">
        <v>49</v>
      </c>
      <c r="AV19">
        <v>0</v>
      </c>
      <c r="AW19">
        <v>2</v>
      </c>
      <c r="AX19">
        <v>48277433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Y19*Source!I36</f>
        <v>2.0837999999999997</v>
      </c>
      <c r="CY19">
        <f>AB19</f>
        <v>887.39</v>
      </c>
      <c r="CZ19">
        <f>AF19</f>
        <v>87.17</v>
      </c>
      <c r="DA19">
        <f>AJ19</f>
        <v>10.18</v>
      </c>
      <c r="DB19">
        <f>ROUND(((ROUND(AT19*CZ19,2)*1.2)*1.15),2)</f>
        <v>181.65</v>
      </c>
      <c r="DC19">
        <f>ROUND(((ROUND(AT19*AG19,2)*1.2)*1.15),2)</f>
        <v>24.18</v>
      </c>
    </row>
    <row r="20" spans="1:107" x14ac:dyDescent="0.2">
      <c r="A20">
        <f>ROW(Source!A36)</f>
        <v>36</v>
      </c>
      <c r="B20">
        <v>48276314</v>
      </c>
      <c r="C20">
        <v>48277416</v>
      </c>
      <c r="D20">
        <v>29113386</v>
      </c>
      <c r="E20">
        <v>1</v>
      </c>
      <c r="F20">
        <v>1</v>
      </c>
      <c r="G20">
        <v>1</v>
      </c>
      <c r="H20">
        <v>3</v>
      </c>
      <c r="I20" t="s">
        <v>399</v>
      </c>
      <c r="J20" t="s">
        <v>400</v>
      </c>
      <c r="K20" t="s">
        <v>401</v>
      </c>
      <c r="L20">
        <v>1348</v>
      </c>
      <c r="N20">
        <v>1009</v>
      </c>
      <c r="O20" t="s">
        <v>215</v>
      </c>
      <c r="P20" t="s">
        <v>215</v>
      </c>
      <c r="Q20">
        <v>1000</v>
      </c>
      <c r="W20">
        <v>0</v>
      </c>
      <c r="X20">
        <v>-1452013394</v>
      </c>
      <c r="Y20">
        <v>5.7999999999999996E-3</v>
      </c>
      <c r="AA20">
        <v>42000.08</v>
      </c>
      <c r="AB20">
        <v>0</v>
      </c>
      <c r="AC20">
        <v>0</v>
      </c>
      <c r="AD20">
        <v>0</v>
      </c>
      <c r="AE20">
        <v>5000.01</v>
      </c>
      <c r="AF20">
        <v>0</v>
      </c>
      <c r="AG20">
        <v>0</v>
      </c>
      <c r="AH20">
        <v>0</v>
      </c>
      <c r="AI20">
        <v>8.4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5.7999999999999996E-3</v>
      </c>
      <c r="AU20" t="s">
        <v>6</v>
      </c>
      <c r="AV20">
        <v>0</v>
      </c>
      <c r="AW20">
        <v>2</v>
      </c>
      <c r="AX20">
        <v>48277434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5.7999999999999996E-3</v>
      </c>
      <c r="CY20">
        <f t="shared" ref="CY20:CY28" si="0">AA20</f>
        <v>42000.08</v>
      </c>
      <c r="CZ20">
        <f t="shared" ref="CZ20:CZ28" si="1">AE20</f>
        <v>5000.01</v>
      </c>
      <c r="DA20">
        <f t="shared" ref="DA20:DA28" si="2">AI20</f>
        <v>8.4</v>
      </c>
      <c r="DB20">
        <f t="shared" ref="DB20:DB28" si="3">ROUND(ROUND(AT20*CZ20,2),2)</f>
        <v>29</v>
      </c>
      <c r="DC20">
        <f t="shared" ref="DC20:DC28" si="4">ROUND(ROUND(AT20*AG20,2),2)</f>
        <v>0</v>
      </c>
    </row>
    <row r="21" spans="1:107" x14ac:dyDescent="0.2">
      <c r="A21">
        <f>ROW(Source!A36)</f>
        <v>36</v>
      </c>
      <c r="B21">
        <v>48276314</v>
      </c>
      <c r="C21">
        <v>48277416</v>
      </c>
      <c r="D21">
        <v>29113980</v>
      </c>
      <c r="E21">
        <v>1</v>
      </c>
      <c r="F21">
        <v>1</v>
      </c>
      <c r="G21">
        <v>1</v>
      </c>
      <c r="H21">
        <v>3</v>
      </c>
      <c r="I21" t="s">
        <v>402</v>
      </c>
      <c r="J21" t="s">
        <v>403</v>
      </c>
      <c r="K21" t="s">
        <v>404</v>
      </c>
      <c r="L21">
        <v>1346</v>
      </c>
      <c r="N21">
        <v>1009</v>
      </c>
      <c r="O21" t="s">
        <v>128</v>
      </c>
      <c r="P21" t="s">
        <v>128</v>
      </c>
      <c r="Q21">
        <v>1</v>
      </c>
      <c r="W21">
        <v>0</v>
      </c>
      <c r="X21">
        <v>-1805966371</v>
      </c>
      <c r="Y21">
        <v>1.58</v>
      </c>
      <c r="AA21">
        <v>93.59</v>
      </c>
      <c r="AB21">
        <v>0</v>
      </c>
      <c r="AC21">
        <v>0</v>
      </c>
      <c r="AD21">
        <v>0</v>
      </c>
      <c r="AE21">
        <v>14.31</v>
      </c>
      <c r="AF21">
        <v>0</v>
      </c>
      <c r="AG21">
        <v>0</v>
      </c>
      <c r="AH21">
        <v>0</v>
      </c>
      <c r="AI21">
        <v>6.54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1.58</v>
      </c>
      <c r="AU21" t="s">
        <v>6</v>
      </c>
      <c r="AV21">
        <v>0</v>
      </c>
      <c r="AW21">
        <v>2</v>
      </c>
      <c r="AX21">
        <v>48277435</v>
      </c>
      <c r="AY21">
        <v>1</v>
      </c>
      <c r="AZ21">
        <v>0</v>
      </c>
      <c r="BA21">
        <v>20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1.58</v>
      </c>
      <c r="CY21">
        <f t="shared" si="0"/>
        <v>93.59</v>
      </c>
      <c r="CZ21">
        <f t="shared" si="1"/>
        <v>14.31</v>
      </c>
      <c r="DA21">
        <f t="shared" si="2"/>
        <v>6.54</v>
      </c>
      <c r="DB21">
        <f t="shared" si="3"/>
        <v>22.61</v>
      </c>
      <c r="DC21">
        <f t="shared" si="4"/>
        <v>0</v>
      </c>
    </row>
    <row r="22" spans="1:107" x14ac:dyDescent="0.2">
      <c r="A22">
        <f>ROW(Source!A36)</f>
        <v>36</v>
      </c>
      <c r="B22">
        <v>48276314</v>
      </c>
      <c r="C22">
        <v>48277416</v>
      </c>
      <c r="D22">
        <v>29110817</v>
      </c>
      <c r="E22">
        <v>1</v>
      </c>
      <c r="F22">
        <v>1</v>
      </c>
      <c r="G22">
        <v>1</v>
      </c>
      <c r="H22">
        <v>3</v>
      </c>
      <c r="I22" t="s">
        <v>405</v>
      </c>
      <c r="J22" t="s">
        <v>406</v>
      </c>
      <c r="K22" t="s">
        <v>407</v>
      </c>
      <c r="L22">
        <v>1346</v>
      </c>
      <c r="N22">
        <v>1009</v>
      </c>
      <c r="O22" t="s">
        <v>128</v>
      </c>
      <c r="P22" t="s">
        <v>128</v>
      </c>
      <c r="Q22">
        <v>1</v>
      </c>
      <c r="W22">
        <v>0</v>
      </c>
      <c r="X22">
        <v>-1695597885</v>
      </c>
      <c r="Y22">
        <v>3.7999999999999999E-2</v>
      </c>
      <c r="AA22">
        <v>765.95</v>
      </c>
      <c r="AB22">
        <v>0</v>
      </c>
      <c r="AC22">
        <v>0</v>
      </c>
      <c r="AD22">
        <v>0</v>
      </c>
      <c r="AE22">
        <v>445.32</v>
      </c>
      <c r="AF22">
        <v>0</v>
      </c>
      <c r="AG22">
        <v>0</v>
      </c>
      <c r="AH22">
        <v>0</v>
      </c>
      <c r="AI22">
        <v>1.72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3.7999999999999999E-2</v>
      </c>
      <c r="AU22" t="s">
        <v>6</v>
      </c>
      <c r="AV22">
        <v>0</v>
      </c>
      <c r="AW22">
        <v>2</v>
      </c>
      <c r="AX22">
        <v>48277436</v>
      </c>
      <c r="AY22">
        <v>1</v>
      </c>
      <c r="AZ22">
        <v>0</v>
      </c>
      <c r="BA22">
        <v>21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3.7999999999999999E-2</v>
      </c>
      <c r="CY22">
        <f t="shared" si="0"/>
        <v>765.95</v>
      </c>
      <c r="CZ22">
        <f t="shared" si="1"/>
        <v>445.32</v>
      </c>
      <c r="DA22">
        <f t="shared" si="2"/>
        <v>1.72</v>
      </c>
      <c r="DB22">
        <f t="shared" si="3"/>
        <v>16.920000000000002</v>
      </c>
      <c r="DC22">
        <f t="shared" si="4"/>
        <v>0</v>
      </c>
    </row>
    <row r="23" spans="1:107" x14ac:dyDescent="0.2">
      <c r="A23">
        <f>ROW(Source!A36)</f>
        <v>36</v>
      </c>
      <c r="B23">
        <v>48276314</v>
      </c>
      <c r="C23">
        <v>48277416</v>
      </c>
      <c r="D23">
        <v>29115896</v>
      </c>
      <c r="E23">
        <v>1</v>
      </c>
      <c r="F23">
        <v>1</v>
      </c>
      <c r="G23">
        <v>1</v>
      </c>
      <c r="H23">
        <v>3</v>
      </c>
      <c r="I23" t="s">
        <v>103</v>
      </c>
      <c r="J23" t="s">
        <v>106</v>
      </c>
      <c r="K23" t="s">
        <v>104</v>
      </c>
      <c r="L23">
        <v>1301</v>
      </c>
      <c r="N23">
        <v>1003</v>
      </c>
      <c r="O23" t="s">
        <v>105</v>
      </c>
      <c r="P23" t="s">
        <v>105</v>
      </c>
      <c r="Q23">
        <v>1</v>
      </c>
      <c r="W23">
        <v>0</v>
      </c>
      <c r="X23">
        <v>-394879126</v>
      </c>
      <c r="Y23">
        <v>100</v>
      </c>
      <c r="AA23">
        <v>616.58000000000004</v>
      </c>
      <c r="AB23">
        <v>0</v>
      </c>
      <c r="AC23">
        <v>0</v>
      </c>
      <c r="AD23">
        <v>0</v>
      </c>
      <c r="AE23">
        <v>82.32</v>
      </c>
      <c r="AF23">
        <v>0</v>
      </c>
      <c r="AG23">
        <v>0</v>
      </c>
      <c r="AH23">
        <v>0</v>
      </c>
      <c r="AI23">
        <v>7.49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100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Y23*Source!I36</f>
        <v>100</v>
      </c>
      <c r="CY23">
        <f t="shared" si="0"/>
        <v>616.58000000000004</v>
      </c>
      <c r="CZ23">
        <f t="shared" si="1"/>
        <v>82.32</v>
      </c>
      <c r="DA23">
        <f t="shared" si="2"/>
        <v>7.49</v>
      </c>
      <c r="DB23">
        <f t="shared" si="3"/>
        <v>8232</v>
      </c>
      <c r="DC23">
        <f t="shared" si="4"/>
        <v>0</v>
      </c>
    </row>
    <row r="24" spans="1:107" x14ac:dyDescent="0.2">
      <c r="A24">
        <f>ROW(Source!A36)</f>
        <v>36</v>
      </c>
      <c r="B24">
        <v>48276314</v>
      </c>
      <c r="C24">
        <v>48277416</v>
      </c>
      <c r="D24">
        <v>29121416</v>
      </c>
      <c r="E24">
        <v>1</v>
      </c>
      <c r="F24">
        <v>1</v>
      </c>
      <c r="G24">
        <v>1</v>
      </c>
      <c r="H24">
        <v>3</v>
      </c>
      <c r="I24" t="s">
        <v>408</v>
      </c>
      <c r="J24" t="s">
        <v>409</v>
      </c>
      <c r="K24" t="s">
        <v>410</v>
      </c>
      <c r="L24">
        <v>1355</v>
      </c>
      <c r="N24">
        <v>1010</v>
      </c>
      <c r="O24" t="s">
        <v>225</v>
      </c>
      <c r="P24" t="s">
        <v>225</v>
      </c>
      <c r="Q24">
        <v>100</v>
      </c>
      <c r="W24">
        <v>0</v>
      </c>
      <c r="X24">
        <v>-1600619454</v>
      </c>
      <c r="Y24">
        <v>0.25</v>
      </c>
      <c r="AA24">
        <v>914.13</v>
      </c>
      <c r="AB24">
        <v>0</v>
      </c>
      <c r="AC24">
        <v>0</v>
      </c>
      <c r="AD24">
        <v>0</v>
      </c>
      <c r="AE24">
        <v>88.75</v>
      </c>
      <c r="AF24">
        <v>0</v>
      </c>
      <c r="AG24">
        <v>0</v>
      </c>
      <c r="AH24">
        <v>0</v>
      </c>
      <c r="AI24">
        <v>10.3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0.25</v>
      </c>
      <c r="AU24" t="s">
        <v>6</v>
      </c>
      <c r="AV24">
        <v>0</v>
      </c>
      <c r="AW24">
        <v>2</v>
      </c>
      <c r="AX24">
        <v>48277437</v>
      </c>
      <c r="AY24">
        <v>1</v>
      </c>
      <c r="AZ24">
        <v>0</v>
      </c>
      <c r="BA24">
        <v>22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Y24*Source!I36</f>
        <v>0.25</v>
      </c>
      <c r="CY24">
        <f t="shared" si="0"/>
        <v>914.13</v>
      </c>
      <c r="CZ24">
        <f t="shared" si="1"/>
        <v>88.75</v>
      </c>
      <c r="DA24">
        <f t="shared" si="2"/>
        <v>10.3</v>
      </c>
      <c r="DB24">
        <f t="shared" si="3"/>
        <v>22.19</v>
      </c>
      <c r="DC24">
        <f t="shared" si="4"/>
        <v>0</v>
      </c>
    </row>
    <row r="25" spans="1:107" x14ac:dyDescent="0.2">
      <c r="A25">
        <f>ROW(Source!A36)</f>
        <v>36</v>
      </c>
      <c r="B25">
        <v>48276314</v>
      </c>
      <c r="C25">
        <v>48277416</v>
      </c>
      <c r="D25">
        <v>29145159</v>
      </c>
      <c r="E25">
        <v>1</v>
      </c>
      <c r="F25">
        <v>1</v>
      </c>
      <c r="G25">
        <v>1</v>
      </c>
      <c r="H25">
        <v>3</v>
      </c>
      <c r="I25" t="s">
        <v>411</v>
      </c>
      <c r="J25" t="s">
        <v>412</v>
      </c>
      <c r="K25" t="s">
        <v>413</v>
      </c>
      <c r="L25">
        <v>1339</v>
      </c>
      <c r="N25">
        <v>1007</v>
      </c>
      <c r="O25" t="s">
        <v>191</v>
      </c>
      <c r="P25" t="s">
        <v>191</v>
      </c>
      <c r="Q25">
        <v>1</v>
      </c>
      <c r="W25">
        <v>0</v>
      </c>
      <c r="X25">
        <v>-672371193</v>
      </c>
      <c r="Y25">
        <v>4.0000000000000001E-3</v>
      </c>
      <c r="AA25">
        <v>3540</v>
      </c>
      <c r="AB25">
        <v>0</v>
      </c>
      <c r="AC25">
        <v>0</v>
      </c>
      <c r="AD25">
        <v>0</v>
      </c>
      <c r="AE25">
        <v>600</v>
      </c>
      <c r="AF25">
        <v>0</v>
      </c>
      <c r="AG25">
        <v>0</v>
      </c>
      <c r="AH25">
        <v>0</v>
      </c>
      <c r="AI25">
        <v>5.9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4.0000000000000001E-3</v>
      </c>
      <c r="AU25" t="s">
        <v>6</v>
      </c>
      <c r="AV25">
        <v>0</v>
      </c>
      <c r="AW25">
        <v>2</v>
      </c>
      <c r="AX25">
        <v>48277438</v>
      </c>
      <c r="AY25">
        <v>1</v>
      </c>
      <c r="AZ25">
        <v>0</v>
      </c>
      <c r="BA25">
        <v>23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4.0000000000000001E-3</v>
      </c>
      <c r="CY25">
        <f t="shared" si="0"/>
        <v>3540</v>
      </c>
      <c r="CZ25">
        <f t="shared" si="1"/>
        <v>600</v>
      </c>
      <c r="DA25">
        <f t="shared" si="2"/>
        <v>5.9</v>
      </c>
      <c r="DB25">
        <f t="shared" si="3"/>
        <v>2.4</v>
      </c>
      <c r="DC25">
        <f t="shared" si="4"/>
        <v>0</v>
      </c>
    </row>
    <row r="26" spans="1:107" x14ac:dyDescent="0.2">
      <c r="A26">
        <f>ROW(Source!A36)</f>
        <v>36</v>
      </c>
      <c r="B26">
        <v>48276314</v>
      </c>
      <c r="C26">
        <v>48277416</v>
      </c>
      <c r="D26">
        <v>29165774</v>
      </c>
      <c r="E26">
        <v>1</v>
      </c>
      <c r="F26">
        <v>1</v>
      </c>
      <c r="G26">
        <v>1</v>
      </c>
      <c r="H26">
        <v>3</v>
      </c>
      <c r="I26" t="s">
        <v>95</v>
      </c>
      <c r="J26" t="s">
        <v>98</v>
      </c>
      <c r="K26" t="s">
        <v>96</v>
      </c>
      <c r="L26">
        <v>1358</v>
      </c>
      <c r="N26">
        <v>1010</v>
      </c>
      <c r="O26" t="s">
        <v>97</v>
      </c>
      <c r="P26" t="s">
        <v>97</v>
      </c>
      <c r="Q26">
        <v>10</v>
      </c>
      <c r="W26">
        <v>0</v>
      </c>
      <c r="X26">
        <v>-1035860104</v>
      </c>
      <c r="Y26">
        <v>0.6</v>
      </c>
      <c r="AA26">
        <v>993.87</v>
      </c>
      <c r="AB26">
        <v>0</v>
      </c>
      <c r="AC26">
        <v>0</v>
      </c>
      <c r="AD26">
        <v>0</v>
      </c>
      <c r="AE26">
        <v>40.9</v>
      </c>
      <c r="AF26">
        <v>0</v>
      </c>
      <c r="AG26">
        <v>0</v>
      </c>
      <c r="AH26">
        <v>0</v>
      </c>
      <c r="AI26">
        <v>24.3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0.6</v>
      </c>
      <c r="AU26" t="s">
        <v>6</v>
      </c>
      <c r="AV26">
        <v>0</v>
      </c>
      <c r="AW26">
        <v>2</v>
      </c>
      <c r="AX26">
        <v>48277439</v>
      </c>
      <c r="AY26">
        <v>1</v>
      </c>
      <c r="AZ26">
        <v>0</v>
      </c>
      <c r="BA26">
        <v>24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Y26*Source!I36</f>
        <v>0.6</v>
      </c>
      <c r="CY26">
        <f t="shared" si="0"/>
        <v>993.87</v>
      </c>
      <c r="CZ26">
        <f t="shared" si="1"/>
        <v>40.9</v>
      </c>
      <c r="DA26">
        <f t="shared" si="2"/>
        <v>24.3</v>
      </c>
      <c r="DB26">
        <f t="shared" si="3"/>
        <v>24.54</v>
      </c>
      <c r="DC26">
        <f t="shared" si="4"/>
        <v>0</v>
      </c>
    </row>
    <row r="27" spans="1:107" x14ac:dyDescent="0.2">
      <c r="A27">
        <f>ROW(Source!A36)</f>
        <v>36</v>
      </c>
      <c r="B27">
        <v>48276314</v>
      </c>
      <c r="C27">
        <v>48277416</v>
      </c>
      <c r="D27">
        <v>29165774</v>
      </c>
      <c r="E27">
        <v>1</v>
      </c>
      <c r="F27">
        <v>1</v>
      </c>
      <c r="G27">
        <v>1</v>
      </c>
      <c r="H27">
        <v>3</v>
      </c>
      <c r="I27" t="s">
        <v>95</v>
      </c>
      <c r="J27" t="s">
        <v>98</v>
      </c>
      <c r="K27" t="s">
        <v>96</v>
      </c>
      <c r="L27">
        <v>1358</v>
      </c>
      <c r="N27">
        <v>1010</v>
      </c>
      <c r="O27" t="s">
        <v>97</v>
      </c>
      <c r="P27" t="s">
        <v>97</v>
      </c>
      <c r="Q27">
        <v>10</v>
      </c>
      <c r="W27">
        <v>0</v>
      </c>
      <c r="X27">
        <v>-1035860104</v>
      </c>
      <c r="Y27">
        <v>-0.6</v>
      </c>
      <c r="AA27">
        <v>993.87</v>
      </c>
      <c r="AB27">
        <v>0</v>
      </c>
      <c r="AC27">
        <v>0</v>
      </c>
      <c r="AD27">
        <v>0</v>
      </c>
      <c r="AE27">
        <v>40.9</v>
      </c>
      <c r="AF27">
        <v>0</v>
      </c>
      <c r="AG27">
        <v>0</v>
      </c>
      <c r="AH27">
        <v>0</v>
      </c>
      <c r="AI27">
        <v>24.3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-0.6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Y27*Source!I36</f>
        <v>-0.6</v>
      </c>
      <c r="CY27">
        <f t="shared" si="0"/>
        <v>993.87</v>
      </c>
      <c r="CZ27">
        <f t="shared" si="1"/>
        <v>40.9</v>
      </c>
      <c r="DA27">
        <f t="shared" si="2"/>
        <v>24.3</v>
      </c>
      <c r="DB27">
        <f t="shared" si="3"/>
        <v>-24.54</v>
      </c>
      <c r="DC27">
        <f t="shared" si="4"/>
        <v>0</v>
      </c>
    </row>
    <row r="28" spans="1:107" x14ac:dyDescent="0.2">
      <c r="A28">
        <f>ROW(Source!A36)</f>
        <v>36</v>
      </c>
      <c r="B28">
        <v>48276314</v>
      </c>
      <c r="C28">
        <v>48277416</v>
      </c>
      <c r="D28">
        <v>29171808</v>
      </c>
      <c r="E28">
        <v>1</v>
      </c>
      <c r="F28">
        <v>1</v>
      </c>
      <c r="G28">
        <v>1</v>
      </c>
      <c r="H28">
        <v>3</v>
      </c>
      <c r="I28" t="s">
        <v>384</v>
      </c>
      <c r="J28" t="s">
        <v>385</v>
      </c>
      <c r="K28" t="s">
        <v>386</v>
      </c>
      <c r="L28">
        <v>1374</v>
      </c>
      <c r="N28">
        <v>1013</v>
      </c>
      <c r="O28" t="s">
        <v>387</v>
      </c>
      <c r="P28" t="s">
        <v>387</v>
      </c>
      <c r="Q28">
        <v>1</v>
      </c>
      <c r="W28">
        <v>0</v>
      </c>
      <c r="X28">
        <v>-915781824</v>
      </c>
      <c r="Y28">
        <v>8.1999999999999993</v>
      </c>
      <c r="AA28">
        <v>1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8.1999999999999993</v>
      </c>
      <c r="AU28" t="s">
        <v>6</v>
      </c>
      <c r="AV28">
        <v>0</v>
      </c>
      <c r="AW28">
        <v>2</v>
      </c>
      <c r="AX28">
        <v>48277440</v>
      </c>
      <c r="AY28">
        <v>1</v>
      </c>
      <c r="AZ28">
        <v>0</v>
      </c>
      <c r="BA28">
        <v>25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Y28*Source!I36</f>
        <v>8.1999999999999993</v>
      </c>
      <c r="CY28">
        <f t="shared" si="0"/>
        <v>1</v>
      </c>
      <c r="CZ28">
        <f t="shared" si="1"/>
        <v>1</v>
      </c>
      <c r="DA28">
        <f t="shared" si="2"/>
        <v>1</v>
      </c>
      <c r="DB28">
        <f t="shared" si="3"/>
        <v>8.1999999999999993</v>
      </c>
      <c r="DC28">
        <f t="shared" si="4"/>
        <v>0</v>
      </c>
    </row>
    <row r="29" spans="1:107" x14ac:dyDescent="0.2">
      <c r="A29">
        <f>ROW(Source!A39)</f>
        <v>39</v>
      </c>
      <c r="B29">
        <v>48276314</v>
      </c>
      <c r="C29">
        <v>48276671</v>
      </c>
      <c r="D29">
        <v>18411771</v>
      </c>
      <c r="E29">
        <v>1</v>
      </c>
      <c r="F29">
        <v>1</v>
      </c>
      <c r="G29">
        <v>1</v>
      </c>
      <c r="H29">
        <v>1</v>
      </c>
      <c r="I29" t="s">
        <v>414</v>
      </c>
      <c r="J29" t="s">
        <v>6</v>
      </c>
      <c r="K29" t="s">
        <v>415</v>
      </c>
      <c r="L29">
        <v>1369</v>
      </c>
      <c r="N29">
        <v>1013</v>
      </c>
      <c r="O29" t="s">
        <v>356</v>
      </c>
      <c r="P29" t="s">
        <v>356</v>
      </c>
      <c r="Q29">
        <v>1</v>
      </c>
      <c r="W29">
        <v>0</v>
      </c>
      <c r="X29">
        <v>922534627</v>
      </c>
      <c r="Y29">
        <v>63.47999999999999</v>
      </c>
      <c r="AA29">
        <v>0</v>
      </c>
      <c r="AB29">
        <v>0</v>
      </c>
      <c r="AC29">
        <v>0</v>
      </c>
      <c r="AD29">
        <v>238.6</v>
      </c>
      <c r="AE29">
        <v>0</v>
      </c>
      <c r="AF29">
        <v>0</v>
      </c>
      <c r="AG29">
        <v>0</v>
      </c>
      <c r="AH29">
        <v>238.6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40</v>
      </c>
      <c r="AU29" t="s">
        <v>34</v>
      </c>
      <c r="AV29">
        <v>1</v>
      </c>
      <c r="AW29">
        <v>2</v>
      </c>
      <c r="AX29">
        <v>48276674</v>
      </c>
      <c r="AY29">
        <v>2</v>
      </c>
      <c r="AZ29">
        <v>131072</v>
      </c>
      <c r="BA29">
        <v>26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Y29*Source!I39</f>
        <v>1015.6799999999998</v>
      </c>
      <c r="CY29">
        <f>AD29</f>
        <v>238.6</v>
      </c>
      <c r="CZ29">
        <f>AH29</f>
        <v>238.6</v>
      </c>
      <c r="DA29">
        <f>AL29</f>
        <v>1</v>
      </c>
      <c r="DB29">
        <f>ROUND((((ROUND(AT29*CZ29,2)*1.2)*1.15)*1.15),2)</f>
        <v>15146.33</v>
      </c>
      <c r="DC29">
        <f>ROUND((((ROUND(AT29*AG29,2)*1.2)*1.15)*1.15),2)</f>
        <v>0</v>
      </c>
    </row>
    <row r="30" spans="1:107" x14ac:dyDescent="0.2">
      <c r="A30">
        <f>ROW(Source!A39)</f>
        <v>39</v>
      </c>
      <c r="B30">
        <v>48276314</v>
      </c>
      <c r="C30">
        <v>48276671</v>
      </c>
      <c r="D30">
        <v>29149430</v>
      </c>
      <c r="E30">
        <v>1</v>
      </c>
      <c r="F30">
        <v>1</v>
      </c>
      <c r="G30">
        <v>1</v>
      </c>
      <c r="H30">
        <v>3</v>
      </c>
      <c r="I30" t="s">
        <v>416</v>
      </c>
      <c r="J30" t="s">
        <v>417</v>
      </c>
      <c r="K30" t="s">
        <v>418</v>
      </c>
      <c r="L30">
        <v>1339</v>
      </c>
      <c r="N30">
        <v>1007</v>
      </c>
      <c r="O30" t="s">
        <v>191</v>
      </c>
      <c r="P30" t="s">
        <v>191</v>
      </c>
      <c r="Q30">
        <v>1</v>
      </c>
      <c r="W30">
        <v>0</v>
      </c>
      <c r="X30">
        <v>1109074860</v>
      </c>
      <c r="Y30">
        <v>15</v>
      </c>
      <c r="AA30">
        <v>882.41</v>
      </c>
      <c r="AB30">
        <v>0</v>
      </c>
      <c r="AC30">
        <v>0</v>
      </c>
      <c r="AD30">
        <v>0</v>
      </c>
      <c r="AE30">
        <v>131.9</v>
      </c>
      <c r="AF30">
        <v>0</v>
      </c>
      <c r="AG30">
        <v>0</v>
      </c>
      <c r="AH30">
        <v>0</v>
      </c>
      <c r="AI30">
        <v>6.69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15</v>
      </c>
      <c r="AU30" t="s">
        <v>6</v>
      </c>
      <c r="AV30">
        <v>0</v>
      </c>
      <c r="AW30">
        <v>2</v>
      </c>
      <c r="AX30">
        <v>48276675</v>
      </c>
      <c r="AY30">
        <v>1</v>
      </c>
      <c r="AZ30">
        <v>0</v>
      </c>
      <c r="BA30">
        <v>27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Y30*Source!I39</f>
        <v>240</v>
      </c>
      <c r="CY30">
        <f>AA30</f>
        <v>882.41</v>
      </c>
      <c r="CZ30">
        <f>AE30</f>
        <v>131.9</v>
      </c>
      <c r="DA30">
        <f>AI30</f>
        <v>6.69</v>
      </c>
      <c r="DB30">
        <f>ROUND(ROUND(AT30*CZ30,2),2)</f>
        <v>1978.5</v>
      </c>
      <c r="DC30">
        <f>ROUND(ROUND(AT30*AG30,2),2)</f>
        <v>0</v>
      </c>
    </row>
    <row r="31" spans="1:107" x14ac:dyDescent="0.2">
      <c r="A31">
        <f>ROW(Source!A40)</f>
        <v>40</v>
      </c>
      <c r="B31">
        <v>48276314</v>
      </c>
      <c r="C31">
        <v>48276676</v>
      </c>
      <c r="D31">
        <v>18411771</v>
      </c>
      <c r="E31">
        <v>1</v>
      </c>
      <c r="F31">
        <v>1</v>
      </c>
      <c r="G31">
        <v>1</v>
      </c>
      <c r="H31">
        <v>1</v>
      </c>
      <c r="I31" t="s">
        <v>414</v>
      </c>
      <c r="J31" t="s">
        <v>6</v>
      </c>
      <c r="K31" t="s">
        <v>415</v>
      </c>
      <c r="L31">
        <v>1369</v>
      </c>
      <c r="N31">
        <v>1013</v>
      </c>
      <c r="O31" t="s">
        <v>356</v>
      </c>
      <c r="P31" t="s">
        <v>356</v>
      </c>
      <c r="Q31">
        <v>1</v>
      </c>
      <c r="W31">
        <v>0</v>
      </c>
      <c r="X31">
        <v>922534627</v>
      </c>
      <c r="Y31">
        <v>8.680889999999998</v>
      </c>
      <c r="AA31">
        <v>0</v>
      </c>
      <c r="AB31">
        <v>0</v>
      </c>
      <c r="AC31">
        <v>0</v>
      </c>
      <c r="AD31">
        <v>238.6</v>
      </c>
      <c r="AE31">
        <v>0</v>
      </c>
      <c r="AF31">
        <v>0</v>
      </c>
      <c r="AG31">
        <v>0</v>
      </c>
      <c r="AH31">
        <v>238.6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6</v>
      </c>
      <c r="AT31">
        <v>5.47</v>
      </c>
      <c r="AU31" t="s">
        <v>34</v>
      </c>
      <c r="AV31">
        <v>1</v>
      </c>
      <c r="AW31">
        <v>2</v>
      </c>
      <c r="AX31">
        <v>48276679</v>
      </c>
      <c r="AY31">
        <v>2</v>
      </c>
      <c r="AZ31">
        <v>131072</v>
      </c>
      <c r="BA31">
        <v>28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Y31*Source!I40</f>
        <v>-138.89423999999997</v>
      </c>
      <c r="CY31">
        <f>AD31</f>
        <v>238.6</v>
      </c>
      <c r="CZ31">
        <f>AH31</f>
        <v>238.6</v>
      </c>
      <c r="DA31">
        <f>AL31</f>
        <v>1</v>
      </c>
      <c r="DB31">
        <f>ROUND((((ROUND(AT31*CZ31,2)*1.2)*1.15)*1.15),2)</f>
        <v>2071.2600000000002</v>
      </c>
      <c r="DC31">
        <f>ROUND((((ROUND(AT31*AG31,2)*1.2)*1.15)*1.15),2)</f>
        <v>0</v>
      </c>
    </row>
    <row r="32" spans="1:107" x14ac:dyDescent="0.2">
      <c r="A32">
        <f>ROW(Source!A40)</f>
        <v>40</v>
      </c>
      <c r="B32">
        <v>48276314</v>
      </c>
      <c r="C32">
        <v>48276676</v>
      </c>
      <c r="D32">
        <v>29149430</v>
      </c>
      <c r="E32">
        <v>1</v>
      </c>
      <c r="F32">
        <v>1</v>
      </c>
      <c r="G32">
        <v>1</v>
      </c>
      <c r="H32">
        <v>3</v>
      </c>
      <c r="I32" t="s">
        <v>416</v>
      </c>
      <c r="J32" t="s">
        <v>417</v>
      </c>
      <c r="K32" t="s">
        <v>418</v>
      </c>
      <c r="L32">
        <v>1339</v>
      </c>
      <c r="N32">
        <v>1007</v>
      </c>
      <c r="O32" t="s">
        <v>191</v>
      </c>
      <c r="P32" t="s">
        <v>191</v>
      </c>
      <c r="Q32">
        <v>1</v>
      </c>
      <c r="W32">
        <v>0</v>
      </c>
      <c r="X32">
        <v>1109074860</v>
      </c>
      <c r="Y32">
        <v>5</v>
      </c>
      <c r="AA32">
        <v>882.41</v>
      </c>
      <c r="AB32">
        <v>0</v>
      </c>
      <c r="AC32">
        <v>0</v>
      </c>
      <c r="AD32">
        <v>0</v>
      </c>
      <c r="AE32">
        <v>131.9</v>
      </c>
      <c r="AF32">
        <v>0</v>
      </c>
      <c r="AG32">
        <v>0</v>
      </c>
      <c r="AH32">
        <v>0</v>
      </c>
      <c r="AI32">
        <v>6.69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5</v>
      </c>
      <c r="AU32" t="s">
        <v>6</v>
      </c>
      <c r="AV32">
        <v>0</v>
      </c>
      <c r="AW32">
        <v>2</v>
      </c>
      <c r="AX32">
        <v>48276680</v>
      </c>
      <c r="AY32">
        <v>1</v>
      </c>
      <c r="AZ32">
        <v>0</v>
      </c>
      <c r="BA32">
        <v>29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Y32*Source!I40</f>
        <v>-80</v>
      </c>
      <c r="CY32">
        <f>AA32</f>
        <v>882.41</v>
      </c>
      <c r="CZ32">
        <f>AE32</f>
        <v>131.9</v>
      </c>
      <c r="DA32">
        <f>AI32</f>
        <v>6.69</v>
      </c>
      <c r="DB32">
        <f>ROUND(ROUND(AT32*CZ32,2),2)</f>
        <v>659.5</v>
      </c>
      <c r="DC32">
        <f>ROUND(ROUND(AT32*AG32,2),2)</f>
        <v>0</v>
      </c>
    </row>
    <row r="33" spans="1:107" x14ac:dyDescent="0.2">
      <c r="A33">
        <f>ROW(Source!A41)</f>
        <v>41</v>
      </c>
      <c r="B33">
        <v>48276314</v>
      </c>
      <c r="C33">
        <v>48276681</v>
      </c>
      <c r="D33">
        <v>18410631</v>
      </c>
      <c r="E33">
        <v>1</v>
      </c>
      <c r="F33">
        <v>1</v>
      </c>
      <c r="G33">
        <v>1</v>
      </c>
      <c r="H33">
        <v>1</v>
      </c>
      <c r="I33" t="s">
        <v>368</v>
      </c>
      <c r="J33" t="s">
        <v>6</v>
      </c>
      <c r="K33" t="s">
        <v>369</v>
      </c>
      <c r="L33">
        <v>1369</v>
      </c>
      <c r="N33">
        <v>1013</v>
      </c>
      <c r="O33" t="s">
        <v>356</v>
      </c>
      <c r="P33" t="s">
        <v>356</v>
      </c>
      <c r="Q33">
        <v>1</v>
      </c>
      <c r="W33">
        <v>0</v>
      </c>
      <c r="X33">
        <v>-1896518065</v>
      </c>
      <c r="Y33">
        <v>9.5061299999999989</v>
      </c>
      <c r="AA33">
        <v>0</v>
      </c>
      <c r="AB33">
        <v>0</v>
      </c>
      <c r="AC33">
        <v>0</v>
      </c>
      <c r="AD33">
        <v>254.22</v>
      </c>
      <c r="AE33">
        <v>0</v>
      </c>
      <c r="AF33">
        <v>0</v>
      </c>
      <c r="AG33">
        <v>0</v>
      </c>
      <c r="AH33">
        <v>254.22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6</v>
      </c>
      <c r="AT33">
        <v>5.99</v>
      </c>
      <c r="AU33" t="s">
        <v>34</v>
      </c>
      <c r="AV33">
        <v>1</v>
      </c>
      <c r="AW33">
        <v>2</v>
      </c>
      <c r="AX33">
        <v>48276687</v>
      </c>
      <c r="AY33">
        <v>2</v>
      </c>
      <c r="AZ33">
        <v>131072</v>
      </c>
      <c r="BA33">
        <v>30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Y33*Source!I41</f>
        <v>152.09807999999998</v>
      </c>
      <c r="CY33">
        <f>AD33</f>
        <v>254.22</v>
      </c>
      <c r="CZ33">
        <f>AH33</f>
        <v>254.22</v>
      </c>
      <c r="DA33">
        <f>AL33</f>
        <v>1</v>
      </c>
      <c r="DB33">
        <f>ROUND((((ROUND(AT33*CZ33,2)*1.2)*1.15)*1.15),2)</f>
        <v>2416.65</v>
      </c>
      <c r="DC33">
        <f>ROUND((((ROUND(AT33*AG33,2)*1.2)*1.15)*1.15),2)</f>
        <v>0</v>
      </c>
    </row>
    <row r="34" spans="1:107" x14ac:dyDescent="0.2">
      <c r="A34">
        <f>ROW(Source!A41)</f>
        <v>41</v>
      </c>
      <c r="B34">
        <v>48276314</v>
      </c>
      <c r="C34">
        <v>48276681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40</v>
      </c>
      <c r="J34" t="s">
        <v>6</v>
      </c>
      <c r="K34" t="s">
        <v>359</v>
      </c>
      <c r="L34">
        <v>608254</v>
      </c>
      <c r="N34">
        <v>1013</v>
      </c>
      <c r="O34" t="s">
        <v>360</v>
      </c>
      <c r="P34" t="s">
        <v>360</v>
      </c>
      <c r="Q34">
        <v>1</v>
      </c>
      <c r="W34">
        <v>0</v>
      </c>
      <c r="X34">
        <v>-185737400</v>
      </c>
      <c r="Y34">
        <v>4.7264999999999997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6</v>
      </c>
      <c r="AT34">
        <v>2.74</v>
      </c>
      <c r="AU34" t="s">
        <v>33</v>
      </c>
      <c r="AV34">
        <v>2</v>
      </c>
      <c r="AW34">
        <v>2</v>
      </c>
      <c r="AX34">
        <v>48276688</v>
      </c>
      <c r="AY34">
        <v>1</v>
      </c>
      <c r="AZ34">
        <v>0</v>
      </c>
      <c r="BA34">
        <v>31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Y34*Source!I41</f>
        <v>75.623999999999995</v>
      </c>
      <c r="CY34">
        <f>AD34</f>
        <v>0</v>
      </c>
      <c r="CZ34">
        <f>AH34</f>
        <v>0</v>
      </c>
      <c r="DA34">
        <f>AL34</f>
        <v>1</v>
      </c>
      <c r="DB34">
        <f>ROUND((((ROUND(AT34*CZ34,2)*1.2)*1.25)*1.15),2)</f>
        <v>0</v>
      </c>
      <c r="DC34">
        <f>ROUND((((ROUND(AT34*AG34,2)*1.2)*1.25)*1.15),2)</f>
        <v>0</v>
      </c>
    </row>
    <row r="35" spans="1:107" x14ac:dyDescent="0.2">
      <c r="A35">
        <f>ROW(Source!A41)</f>
        <v>41</v>
      </c>
      <c r="B35">
        <v>48276314</v>
      </c>
      <c r="C35">
        <v>48276681</v>
      </c>
      <c r="D35">
        <v>29173290</v>
      </c>
      <c r="E35">
        <v>1</v>
      </c>
      <c r="F35">
        <v>1</v>
      </c>
      <c r="G35">
        <v>1</v>
      </c>
      <c r="H35">
        <v>2</v>
      </c>
      <c r="I35" t="s">
        <v>419</v>
      </c>
      <c r="J35" t="s">
        <v>420</v>
      </c>
      <c r="K35" t="s">
        <v>421</v>
      </c>
      <c r="L35">
        <v>1368</v>
      </c>
      <c r="N35">
        <v>1011</v>
      </c>
      <c r="O35" t="s">
        <v>364</v>
      </c>
      <c r="P35" t="s">
        <v>364</v>
      </c>
      <c r="Q35">
        <v>1</v>
      </c>
      <c r="W35">
        <v>0</v>
      </c>
      <c r="X35">
        <v>-962845729</v>
      </c>
      <c r="Y35">
        <v>4.7264999999999997</v>
      </c>
      <c r="AA35">
        <v>0</v>
      </c>
      <c r="AB35">
        <v>869</v>
      </c>
      <c r="AC35">
        <v>348.58</v>
      </c>
      <c r="AD35">
        <v>0</v>
      </c>
      <c r="AE35">
        <v>0</v>
      </c>
      <c r="AF35">
        <v>110</v>
      </c>
      <c r="AG35">
        <v>11.6</v>
      </c>
      <c r="AH35">
        <v>0</v>
      </c>
      <c r="AI35">
        <v>1</v>
      </c>
      <c r="AJ35">
        <v>7.9</v>
      </c>
      <c r="AK35">
        <v>30.05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6</v>
      </c>
      <c r="AT35">
        <v>2.74</v>
      </c>
      <c r="AU35" t="s">
        <v>33</v>
      </c>
      <c r="AV35">
        <v>0</v>
      </c>
      <c r="AW35">
        <v>2</v>
      </c>
      <c r="AX35">
        <v>48276689</v>
      </c>
      <c r="AY35">
        <v>1</v>
      </c>
      <c r="AZ35">
        <v>0</v>
      </c>
      <c r="BA35">
        <v>32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Y35*Source!I41</f>
        <v>75.623999999999995</v>
      </c>
      <c r="CY35">
        <f>AB35</f>
        <v>869</v>
      </c>
      <c r="CZ35">
        <f>AF35</f>
        <v>110</v>
      </c>
      <c r="DA35">
        <f>AJ35</f>
        <v>7.9</v>
      </c>
      <c r="DB35">
        <f>ROUND((((ROUND(AT35*CZ35,2)*1.2)*1.25)*1.15),2)</f>
        <v>519.91999999999996</v>
      </c>
      <c r="DC35">
        <f>ROUND((((ROUND(AT35*AG35,2)*1.2)*1.25)*1.15),2)</f>
        <v>54.82</v>
      </c>
    </row>
    <row r="36" spans="1:107" x14ac:dyDescent="0.2">
      <c r="A36">
        <f>ROW(Source!A41)</f>
        <v>41</v>
      </c>
      <c r="B36">
        <v>48276314</v>
      </c>
      <c r="C36">
        <v>48276681</v>
      </c>
      <c r="D36">
        <v>29150040</v>
      </c>
      <c r="E36">
        <v>1</v>
      </c>
      <c r="F36">
        <v>1</v>
      </c>
      <c r="G36">
        <v>1</v>
      </c>
      <c r="H36">
        <v>3</v>
      </c>
      <c r="I36" t="s">
        <v>422</v>
      </c>
      <c r="J36" t="s">
        <v>423</v>
      </c>
      <c r="K36" t="s">
        <v>424</v>
      </c>
      <c r="L36">
        <v>1339</v>
      </c>
      <c r="N36">
        <v>1007</v>
      </c>
      <c r="O36" t="s">
        <v>191</v>
      </c>
      <c r="P36" t="s">
        <v>191</v>
      </c>
      <c r="Q36">
        <v>1</v>
      </c>
      <c r="W36">
        <v>0</v>
      </c>
      <c r="X36">
        <v>619799737</v>
      </c>
      <c r="Y36">
        <v>10</v>
      </c>
      <c r="AA36">
        <v>21.28</v>
      </c>
      <c r="AB36">
        <v>0</v>
      </c>
      <c r="AC36">
        <v>0</v>
      </c>
      <c r="AD36">
        <v>0</v>
      </c>
      <c r="AE36">
        <v>2.44</v>
      </c>
      <c r="AF36">
        <v>0</v>
      </c>
      <c r="AG36">
        <v>0</v>
      </c>
      <c r="AH36">
        <v>0</v>
      </c>
      <c r="AI36">
        <v>8.7200000000000006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6</v>
      </c>
      <c r="AT36">
        <v>10</v>
      </c>
      <c r="AU36" t="s">
        <v>6</v>
      </c>
      <c r="AV36">
        <v>0</v>
      </c>
      <c r="AW36">
        <v>2</v>
      </c>
      <c r="AX36">
        <v>48276690</v>
      </c>
      <c r="AY36">
        <v>1</v>
      </c>
      <c r="AZ36">
        <v>0</v>
      </c>
      <c r="BA36">
        <v>33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Y36*Source!I41</f>
        <v>160</v>
      </c>
      <c r="CY36">
        <f>AA36</f>
        <v>21.28</v>
      </c>
      <c r="CZ36">
        <f>AE36</f>
        <v>2.44</v>
      </c>
      <c r="DA36">
        <f>AI36</f>
        <v>8.7200000000000006</v>
      </c>
      <c r="DB36">
        <f>ROUND(ROUND(AT36*CZ36,2),2)</f>
        <v>24.4</v>
      </c>
      <c r="DC36">
        <f>ROUND(ROUND(AT36*AG36,2),2)</f>
        <v>0</v>
      </c>
    </row>
    <row r="37" spans="1:107" x14ac:dyDescent="0.2">
      <c r="A37">
        <f>ROW(Source!A41)</f>
        <v>41</v>
      </c>
      <c r="B37">
        <v>48276314</v>
      </c>
      <c r="C37">
        <v>48276681</v>
      </c>
      <c r="D37">
        <v>29151536</v>
      </c>
      <c r="E37">
        <v>1</v>
      </c>
      <c r="F37">
        <v>1</v>
      </c>
      <c r="G37">
        <v>1</v>
      </c>
      <c r="H37">
        <v>3</v>
      </c>
      <c r="I37" t="s">
        <v>126</v>
      </c>
      <c r="J37" t="s">
        <v>129</v>
      </c>
      <c r="K37" t="s">
        <v>127</v>
      </c>
      <c r="L37">
        <v>1346</v>
      </c>
      <c r="N37">
        <v>1009</v>
      </c>
      <c r="O37" t="s">
        <v>128</v>
      </c>
      <c r="P37" t="s">
        <v>128</v>
      </c>
      <c r="Q37">
        <v>1</v>
      </c>
      <c r="W37">
        <v>0</v>
      </c>
      <c r="X37">
        <v>-1029131374</v>
      </c>
      <c r="Y37">
        <v>2</v>
      </c>
      <c r="AA37">
        <v>131.75</v>
      </c>
      <c r="AB37">
        <v>0</v>
      </c>
      <c r="AC37">
        <v>0</v>
      </c>
      <c r="AD37">
        <v>0</v>
      </c>
      <c r="AE37">
        <v>153.19999999999999</v>
      </c>
      <c r="AF37">
        <v>0</v>
      </c>
      <c r="AG37">
        <v>0</v>
      </c>
      <c r="AH37">
        <v>0</v>
      </c>
      <c r="AI37">
        <v>0.86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1</v>
      </c>
      <c r="AQ37">
        <v>0</v>
      </c>
      <c r="AR37">
        <v>0</v>
      </c>
      <c r="AS37" t="s">
        <v>6</v>
      </c>
      <c r="AT37">
        <v>2</v>
      </c>
      <c r="AU37" t="s">
        <v>6</v>
      </c>
      <c r="AV37">
        <v>0</v>
      </c>
      <c r="AW37">
        <v>1</v>
      </c>
      <c r="AX37">
        <v>-1</v>
      </c>
      <c r="AY37">
        <v>0</v>
      </c>
      <c r="AZ37">
        <v>0</v>
      </c>
      <c r="BA37" t="s">
        <v>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Y37*Source!I41</f>
        <v>32</v>
      </c>
      <c r="CY37">
        <f>AA37</f>
        <v>131.75</v>
      </c>
      <c r="CZ37">
        <f>AE37</f>
        <v>153.19999999999999</v>
      </c>
      <c r="DA37">
        <f>AI37</f>
        <v>0.86</v>
      </c>
      <c r="DB37">
        <f>ROUND(ROUND(AT37*CZ37,2),2)</f>
        <v>306.39999999999998</v>
      </c>
      <c r="DC37">
        <f>ROUND(ROUND(AT37*AG37,2),2)</f>
        <v>0</v>
      </c>
    </row>
    <row r="38" spans="1:107" x14ac:dyDescent="0.2">
      <c r="A38">
        <f>ROW(Source!A77)</f>
        <v>77</v>
      </c>
      <c r="B38">
        <v>48276314</v>
      </c>
      <c r="C38">
        <v>48276693</v>
      </c>
      <c r="D38">
        <v>29362762</v>
      </c>
      <c r="E38">
        <v>1</v>
      </c>
      <c r="F38">
        <v>1</v>
      </c>
      <c r="G38">
        <v>1</v>
      </c>
      <c r="H38">
        <v>1</v>
      </c>
      <c r="I38" t="s">
        <v>425</v>
      </c>
      <c r="J38" t="s">
        <v>6</v>
      </c>
      <c r="K38" t="s">
        <v>426</v>
      </c>
      <c r="L38">
        <v>1369</v>
      </c>
      <c r="N38">
        <v>1013</v>
      </c>
      <c r="O38" t="s">
        <v>356</v>
      </c>
      <c r="P38" t="s">
        <v>356</v>
      </c>
      <c r="Q38">
        <v>1</v>
      </c>
      <c r="W38">
        <v>0</v>
      </c>
      <c r="X38">
        <v>604758886</v>
      </c>
      <c r="Y38">
        <v>7.3139999999999992</v>
      </c>
      <c r="AA38">
        <v>0</v>
      </c>
      <c r="AB38">
        <v>0</v>
      </c>
      <c r="AC38">
        <v>0</v>
      </c>
      <c r="AD38">
        <v>289.08</v>
      </c>
      <c r="AE38">
        <v>0</v>
      </c>
      <c r="AF38">
        <v>0</v>
      </c>
      <c r="AG38">
        <v>0</v>
      </c>
      <c r="AH38">
        <v>289.08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6</v>
      </c>
      <c r="AT38">
        <v>5.3</v>
      </c>
      <c r="AU38" t="s">
        <v>49</v>
      </c>
      <c r="AV38">
        <v>1</v>
      </c>
      <c r="AW38">
        <v>2</v>
      </c>
      <c r="AX38">
        <v>48276698</v>
      </c>
      <c r="AY38">
        <v>2</v>
      </c>
      <c r="AZ38">
        <v>131072</v>
      </c>
      <c r="BA38">
        <v>35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Y38*Source!I77</f>
        <v>70.068119999999993</v>
      </c>
      <c r="CY38">
        <f>AD38</f>
        <v>289.08</v>
      </c>
      <c r="CZ38">
        <f>AH38</f>
        <v>289.08</v>
      </c>
      <c r="DA38">
        <f>AL38</f>
        <v>1</v>
      </c>
      <c r="DB38">
        <f>ROUND(((ROUND(AT38*CZ38,2)*1.2)*1.15),2)</f>
        <v>2114.33</v>
      </c>
      <c r="DC38">
        <f>ROUND(((ROUND(AT38*AG38,2)*1.2)*1.15),2)</f>
        <v>0</v>
      </c>
    </row>
    <row r="39" spans="1:107" x14ac:dyDescent="0.2">
      <c r="A39">
        <f>ROW(Source!A77)</f>
        <v>77</v>
      </c>
      <c r="B39">
        <v>48276314</v>
      </c>
      <c r="C39">
        <v>48276693</v>
      </c>
      <c r="D39">
        <v>38771289</v>
      </c>
      <c r="E39">
        <v>1</v>
      </c>
      <c r="F39">
        <v>1</v>
      </c>
      <c r="G39">
        <v>1</v>
      </c>
      <c r="H39">
        <v>2</v>
      </c>
      <c r="I39" t="s">
        <v>396</v>
      </c>
      <c r="J39" t="s">
        <v>427</v>
      </c>
      <c r="K39" t="s">
        <v>398</v>
      </c>
      <c r="L39">
        <v>1368</v>
      </c>
      <c r="N39">
        <v>1011</v>
      </c>
      <c r="O39" t="s">
        <v>364</v>
      </c>
      <c r="P39" t="s">
        <v>364</v>
      </c>
      <c r="Q39">
        <v>1</v>
      </c>
      <c r="W39">
        <v>0</v>
      </c>
      <c r="X39">
        <v>-1266315718</v>
      </c>
      <c r="Y39">
        <v>5.3819999999999997</v>
      </c>
      <c r="AA39">
        <v>0</v>
      </c>
      <c r="AB39">
        <v>887.39</v>
      </c>
      <c r="AC39">
        <v>348.58</v>
      </c>
      <c r="AD39">
        <v>0</v>
      </c>
      <c r="AE39">
        <v>0</v>
      </c>
      <c r="AF39">
        <v>87.17</v>
      </c>
      <c r="AG39">
        <v>11.6</v>
      </c>
      <c r="AH39">
        <v>0</v>
      </c>
      <c r="AI39">
        <v>1</v>
      </c>
      <c r="AJ39">
        <v>10.18</v>
      </c>
      <c r="AK39">
        <v>30.05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6</v>
      </c>
      <c r="AT39">
        <v>3.9</v>
      </c>
      <c r="AU39" t="s">
        <v>49</v>
      </c>
      <c r="AV39">
        <v>0</v>
      </c>
      <c r="AW39">
        <v>2</v>
      </c>
      <c r="AX39">
        <v>48276699</v>
      </c>
      <c r="AY39">
        <v>1</v>
      </c>
      <c r="AZ39">
        <v>0</v>
      </c>
      <c r="BA39">
        <v>36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Y39*Source!I77</f>
        <v>51.559559999999998</v>
      </c>
      <c r="CY39">
        <f>AB39</f>
        <v>887.39</v>
      </c>
      <c r="CZ39">
        <f>AF39</f>
        <v>87.17</v>
      </c>
      <c r="DA39">
        <f>AJ39</f>
        <v>10.18</v>
      </c>
      <c r="DB39">
        <f>ROUND(((ROUND(AT39*CZ39,2)*1.2)*1.15),2)</f>
        <v>469.14</v>
      </c>
      <c r="DC39">
        <f>ROUND(((ROUND(AT39*AG39,2)*1.2)*1.15),2)</f>
        <v>62.43</v>
      </c>
    </row>
    <row r="40" spans="1:107" x14ac:dyDescent="0.2">
      <c r="A40">
        <f>ROW(Source!A77)</f>
        <v>77</v>
      </c>
      <c r="B40">
        <v>48276314</v>
      </c>
      <c r="C40">
        <v>48276693</v>
      </c>
      <c r="D40">
        <v>29149608</v>
      </c>
      <c r="E40">
        <v>1</v>
      </c>
      <c r="F40">
        <v>1</v>
      </c>
      <c r="G40">
        <v>1</v>
      </c>
      <c r="H40">
        <v>3</v>
      </c>
      <c r="I40" t="s">
        <v>189</v>
      </c>
      <c r="J40" t="s">
        <v>192</v>
      </c>
      <c r="K40" t="s">
        <v>190</v>
      </c>
      <c r="L40">
        <v>1339</v>
      </c>
      <c r="N40">
        <v>1007</v>
      </c>
      <c r="O40" t="s">
        <v>191</v>
      </c>
      <c r="P40" t="s">
        <v>191</v>
      </c>
      <c r="Q40">
        <v>1</v>
      </c>
      <c r="W40">
        <v>0</v>
      </c>
      <c r="X40">
        <v>-1147251145</v>
      </c>
      <c r="Y40">
        <v>12</v>
      </c>
      <c r="AA40">
        <v>550.39</v>
      </c>
      <c r="AB40">
        <v>0</v>
      </c>
      <c r="AC40">
        <v>0</v>
      </c>
      <c r="AD40">
        <v>0</v>
      </c>
      <c r="AE40">
        <v>55.26</v>
      </c>
      <c r="AF40">
        <v>0</v>
      </c>
      <c r="AG40">
        <v>0</v>
      </c>
      <c r="AH40">
        <v>0</v>
      </c>
      <c r="AI40">
        <v>9.9600000000000009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12</v>
      </c>
      <c r="AU40" t="s">
        <v>6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6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Y40*Source!I77</f>
        <v>114.96000000000001</v>
      </c>
      <c r="CY40">
        <f>AA40</f>
        <v>550.39</v>
      </c>
      <c r="CZ40">
        <f>AE40</f>
        <v>55.26</v>
      </c>
      <c r="DA40">
        <f>AI40</f>
        <v>9.9600000000000009</v>
      </c>
      <c r="DB40">
        <f>ROUND(ROUND(AT40*CZ40,2),2)</f>
        <v>663.12</v>
      </c>
      <c r="DC40">
        <f>ROUND(ROUND(AT40*AG40,2),2)</f>
        <v>0</v>
      </c>
    </row>
    <row r="41" spans="1:107" x14ac:dyDescent="0.2">
      <c r="A41">
        <f>ROW(Source!A77)</f>
        <v>77</v>
      </c>
      <c r="B41">
        <v>48276314</v>
      </c>
      <c r="C41">
        <v>48276693</v>
      </c>
      <c r="D41">
        <v>38894737</v>
      </c>
      <c r="E41">
        <v>1</v>
      </c>
      <c r="F41">
        <v>1</v>
      </c>
      <c r="G41">
        <v>1</v>
      </c>
      <c r="H41">
        <v>3</v>
      </c>
      <c r="I41" t="s">
        <v>384</v>
      </c>
      <c r="J41" t="s">
        <v>385</v>
      </c>
      <c r="K41" t="s">
        <v>386</v>
      </c>
      <c r="L41">
        <v>1374</v>
      </c>
      <c r="N41">
        <v>1013</v>
      </c>
      <c r="O41" t="s">
        <v>387</v>
      </c>
      <c r="P41" t="s">
        <v>387</v>
      </c>
      <c r="Q41">
        <v>1</v>
      </c>
      <c r="W41">
        <v>0</v>
      </c>
      <c r="X41">
        <v>-958769613</v>
      </c>
      <c r="Y41">
        <v>1.02</v>
      </c>
      <c r="AA41">
        <v>1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1.02</v>
      </c>
      <c r="AU41" t="s">
        <v>6</v>
      </c>
      <c r="AV41">
        <v>0</v>
      </c>
      <c r="AW41">
        <v>2</v>
      </c>
      <c r="AX41">
        <v>48276700</v>
      </c>
      <c r="AY41">
        <v>1</v>
      </c>
      <c r="AZ41">
        <v>0</v>
      </c>
      <c r="BA41">
        <v>37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Y41*Source!I77</f>
        <v>9.7715999999999994</v>
      </c>
      <c r="CY41">
        <f>AA41</f>
        <v>1</v>
      </c>
      <c r="CZ41">
        <f>AE41</f>
        <v>1</v>
      </c>
      <c r="DA41">
        <f>AI41</f>
        <v>1</v>
      </c>
      <c r="DB41">
        <f>ROUND(ROUND(AT41*CZ41,2),2)</f>
        <v>1.02</v>
      </c>
      <c r="DC41">
        <f>ROUND(ROUND(AT41*AG41,2),2)</f>
        <v>0</v>
      </c>
    </row>
    <row r="42" spans="1:107" x14ac:dyDescent="0.2">
      <c r="A42">
        <f>ROW(Source!A79)</f>
        <v>79</v>
      </c>
      <c r="B42">
        <v>48276314</v>
      </c>
      <c r="C42">
        <v>48276702</v>
      </c>
      <c r="D42">
        <v>29362762</v>
      </c>
      <c r="E42">
        <v>1</v>
      </c>
      <c r="F42">
        <v>1</v>
      </c>
      <c r="G42">
        <v>1</v>
      </c>
      <c r="H42">
        <v>1</v>
      </c>
      <c r="I42" t="s">
        <v>425</v>
      </c>
      <c r="J42" t="s">
        <v>6</v>
      </c>
      <c r="K42" t="s">
        <v>426</v>
      </c>
      <c r="L42">
        <v>1369</v>
      </c>
      <c r="N42">
        <v>1013</v>
      </c>
      <c r="O42" t="s">
        <v>356</v>
      </c>
      <c r="P42" t="s">
        <v>356</v>
      </c>
      <c r="Q42">
        <v>1</v>
      </c>
      <c r="W42">
        <v>0</v>
      </c>
      <c r="X42">
        <v>604758886</v>
      </c>
      <c r="Y42">
        <v>24.0672</v>
      </c>
      <c r="AA42">
        <v>0</v>
      </c>
      <c r="AB42">
        <v>0</v>
      </c>
      <c r="AC42">
        <v>0</v>
      </c>
      <c r="AD42">
        <v>289.08</v>
      </c>
      <c r="AE42">
        <v>0</v>
      </c>
      <c r="AF42">
        <v>0</v>
      </c>
      <c r="AG42">
        <v>0</v>
      </c>
      <c r="AH42">
        <v>289.08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6</v>
      </c>
      <c r="AT42">
        <v>17.440000000000001</v>
      </c>
      <c r="AU42" t="s">
        <v>49</v>
      </c>
      <c r="AV42">
        <v>1</v>
      </c>
      <c r="AW42">
        <v>2</v>
      </c>
      <c r="AX42">
        <v>48277445</v>
      </c>
      <c r="AY42">
        <v>1</v>
      </c>
      <c r="AZ42">
        <v>0</v>
      </c>
      <c r="BA42">
        <v>38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Y42*Source!I79</f>
        <v>230.56377599999999</v>
      </c>
      <c r="CY42">
        <f>AD42</f>
        <v>289.08</v>
      </c>
      <c r="CZ42">
        <f>AH42</f>
        <v>289.08</v>
      </c>
      <c r="DA42">
        <f>AL42</f>
        <v>1</v>
      </c>
      <c r="DB42">
        <f t="shared" ref="DB42:DB47" si="5">ROUND(((ROUND(AT42*CZ42,2)*1.2)*1.15),2)</f>
        <v>6957.35</v>
      </c>
      <c r="DC42">
        <f t="shared" ref="DC42:DC47" si="6">ROUND(((ROUND(AT42*AG42,2)*1.2)*1.15),2)</f>
        <v>0</v>
      </c>
    </row>
    <row r="43" spans="1:107" x14ac:dyDescent="0.2">
      <c r="A43">
        <f>ROW(Source!A79)</f>
        <v>79</v>
      </c>
      <c r="B43">
        <v>48276314</v>
      </c>
      <c r="C43">
        <v>48276702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40</v>
      </c>
      <c r="J43" t="s">
        <v>6</v>
      </c>
      <c r="K43" t="s">
        <v>359</v>
      </c>
      <c r="L43">
        <v>608254</v>
      </c>
      <c r="N43">
        <v>1013</v>
      </c>
      <c r="O43" t="s">
        <v>360</v>
      </c>
      <c r="P43" t="s">
        <v>360</v>
      </c>
      <c r="Q43">
        <v>1</v>
      </c>
      <c r="W43">
        <v>0</v>
      </c>
      <c r="X43">
        <v>-185737400</v>
      </c>
      <c r="Y43">
        <v>1.8215999999999999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6</v>
      </c>
      <c r="AT43">
        <v>1.32</v>
      </c>
      <c r="AU43" t="s">
        <v>49</v>
      </c>
      <c r="AV43">
        <v>2</v>
      </c>
      <c r="AW43">
        <v>2</v>
      </c>
      <c r="AX43">
        <v>48277446</v>
      </c>
      <c r="AY43">
        <v>1</v>
      </c>
      <c r="AZ43">
        <v>0</v>
      </c>
      <c r="BA43">
        <v>39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Y43*Source!I79</f>
        <v>17.450927999999998</v>
      </c>
      <c r="CY43">
        <f>AD43</f>
        <v>0</v>
      </c>
      <c r="CZ43">
        <f>AH43</f>
        <v>0</v>
      </c>
      <c r="DA43">
        <f>AL43</f>
        <v>1</v>
      </c>
      <c r="DB43">
        <f t="shared" si="5"/>
        <v>0</v>
      </c>
      <c r="DC43">
        <f t="shared" si="6"/>
        <v>0</v>
      </c>
    </row>
    <row r="44" spans="1:107" x14ac:dyDescent="0.2">
      <c r="A44">
        <f>ROW(Source!A79)</f>
        <v>79</v>
      </c>
      <c r="B44">
        <v>48276314</v>
      </c>
      <c r="C44">
        <v>48276702</v>
      </c>
      <c r="D44">
        <v>29172362</v>
      </c>
      <c r="E44">
        <v>1</v>
      </c>
      <c r="F44">
        <v>1</v>
      </c>
      <c r="G44">
        <v>1</v>
      </c>
      <c r="H44">
        <v>2</v>
      </c>
      <c r="I44" t="s">
        <v>390</v>
      </c>
      <c r="J44" t="s">
        <v>391</v>
      </c>
      <c r="K44" t="s">
        <v>392</v>
      </c>
      <c r="L44">
        <v>1368</v>
      </c>
      <c r="N44">
        <v>1011</v>
      </c>
      <c r="O44" t="s">
        <v>364</v>
      </c>
      <c r="P44" t="s">
        <v>364</v>
      </c>
      <c r="Q44">
        <v>1</v>
      </c>
      <c r="W44">
        <v>0</v>
      </c>
      <c r="X44">
        <v>783836208</v>
      </c>
      <c r="Y44">
        <v>1.8215999999999999</v>
      </c>
      <c r="AA44">
        <v>0</v>
      </c>
      <c r="AB44">
        <v>1058.3499999999999</v>
      </c>
      <c r="AC44">
        <v>405.68</v>
      </c>
      <c r="AD44">
        <v>0</v>
      </c>
      <c r="AE44">
        <v>0</v>
      </c>
      <c r="AF44">
        <v>134.65</v>
      </c>
      <c r="AG44">
        <v>13.5</v>
      </c>
      <c r="AH44">
        <v>0</v>
      </c>
      <c r="AI44">
        <v>1</v>
      </c>
      <c r="AJ44">
        <v>7.86</v>
      </c>
      <c r="AK44">
        <v>30.05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6</v>
      </c>
      <c r="AT44">
        <v>1.32</v>
      </c>
      <c r="AU44" t="s">
        <v>49</v>
      </c>
      <c r="AV44">
        <v>0</v>
      </c>
      <c r="AW44">
        <v>2</v>
      </c>
      <c r="AX44">
        <v>48277447</v>
      </c>
      <c r="AY44">
        <v>1</v>
      </c>
      <c r="AZ44">
        <v>0</v>
      </c>
      <c r="BA44">
        <v>40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Y44*Source!I79</f>
        <v>17.450927999999998</v>
      </c>
      <c r="CY44">
        <f>AB44</f>
        <v>1058.3499999999999</v>
      </c>
      <c r="CZ44">
        <f>AF44</f>
        <v>134.65</v>
      </c>
      <c r="DA44">
        <f>AJ44</f>
        <v>7.86</v>
      </c>
      <c r="DB44">
        <f t="shared" si="5"/>
        <v>245.28</v>
      </c>
      <c r="DC44">
        <f t="shared" si="6"/>
        <v>24.59</v>
      </c>
    </row>
    <row r="45" spans="1:107" x14ac:dyDescent="0.2">
      <c r="A45">
        <f>ROW(Source!A79)</f>
        <v>79</v>
      </c>
      <c r="B45">
        <v>48276314</v>
      </c>
      <c r="C45">
        <v>48276702</v>
      </c>
      <c r="D45">
        <v>29172498</v>
      </c>
      <c r="E45">
        <v>1</v>
      </c>
      <c r="F45">
        <v>1</v>
      </c>
      <c r="G45">
        <v>1</v>
      </c>
      <c r="H45">
        <v>2</v>
      </c>
      <c r="I45" t="s">
        <v>428</v>
      </c>
      <c r="J45" t="s">
        <v>429</v>
      </c>
      <c r="K45" t="s">
        <v>430</v>
      </c>
      <c r="L45">
        <v>1368</v>
      </c>
      <c r="N45">
        <v>1011</v>
      </c>
      <c r="O45" t="s">
        <v>364</v>
      </c>
      <c r="P45" t="s">
        <v>364</v>
      </c>
      <c r="Q45">
        <v>1</v>
      </c>
      <c r="W45">
        <v>0</v>
      </c>
      <c r="X45">
        <v>-426164714</v>
      </c>
      <c r="Y45">
        <v>5.4786000000000001</v>
      </c>
      <c r="AA45">
        <v>0</v>
      </c>
      <c r="AB45">
        <v>10.07</v>
      </c>
      <c r="AC45">
        <v>0</v>
      </c>
      <c r="AD45">
        <v>0</v>
      </c>
      <c r="AE45">
        <v>0</v>
      </c>
      <c r="AF45">
        <v>2.37</v>
      </c>
      <c r="AG45">
        <v>0</v>
      </c>
      <c r="AH45">
        <v>0</v>
      </c>
      <c r="AI45">
        <v>1</v>
      </c>
      <c r="AJ45">
        <v>4.25</v>
      </c>
      <c r="AK45">
        <v>30.05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6</v>
      </c>
      <c r="AT45">
        <v>3.97</v>
      </c>
      <c r="AU45" t="s">
        <v>49</v>
      </c>
      <c r="AV45">
        <v>0</v>
      </c>
      <c r="AW45">
        <v>2</v>
      </c>
      <c r="AX45">
        <v>48277448</v>
      </c>
      <c r="AY45">
        <v>1</v>
      </c>
      <c r="AZ45">
        <v>0</v>
      </c>
      <c r="BA45">
        <v>41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Y45*Source!I79</f>
        <v>52.484988000000001</v>
      </c>
      <c r="CY45">
        <f>AB45</f>
        <v>10.07</v>
      </c>
      <c r="CZ45">
        <f>AF45</f>
        <v>2.37</v>
      </c>
      <c r="DA45">
        <f>AJ45</f>
        <v>4.25</v>
      </c>
      <c r="DB45">
        <f t="shared" si="5"/>
        <v>12.99</v>
      </c>
      <c r="DC45">
        <f t="shared" si="6"/>
        <v>0</v>
      </c>
    </row>
    <row r="46" spans="1:107" x14ac:dyDescent="0.2">
      <c r="A46">
        <f>ROW(Source!A79)</f>
        <v>79</v>
      </c>
      <c r="B46">
        <v>48276314</v>
      </c>
      <c r="C46">
        <v>48276702</v>
      </c>
      <c r="D46">
        <v>29172516</v>
      </c>
      <c r="E46">
        <v>1</v>
      </c>
      <c r="F46">
        <v>1</v>
      </c>
      <c r="G46">
        <v>1</v>
      </c>
      <c r="H46">
        <v>2</v>
      </c>
      <c r="I46" t="s">
        <v>431</v>
      </c>
      <c r="J46" t="s">
        <v>432</v>
      </c>
      <c r="K46" t="s">
        <v>433</v>
      </c>
      <c r="L46">
        <v>1368</v>
      </c>
      <c r="N46">
        <v>1011</v>
      </c>
      <c r="O46" t="s">
        <v>364</v>
      </c>
      <c r="P46" t="s">
        <v>364</v>
      </c>
      <c r="Q46">
        <v>1</v>
      </c>
      <c r="W46">
        <v>0</v>
      </c>
      <c r="X46">
        <v>1843081982</v>
      </c>
      <c r="Y46">
        <v>5.4786000000000001</v>
      </c>
      <c r="AA46">
        <v>0</v>
      </c>
      <c r="AB46">
        <v>72.239999999999995</v>
      </c>
      <c r="AC46">
        <v>0</v>
      </c>
      <c r="AD46">
        <v>0</v>
      </c>
      <c r="AE46">
        <v>0</v>
      </c>
      <c r="AF46">
        <v>6.9</v>
      </c>
      <c r="AG46">
        <v>0</v>
      </c>
      <c r="AH46">
        <v>0</v>
      </c>
      <c r="AI46">
        <v>1</v>
      </c>
      <c r="AJ46">
        <v>10.47</v>
      </c>
      <c r="AK46">
        <v>30.05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6</v>
      </c>
      <c r="AT46">
        <v>3.97</v>
      </c>
      <c r="AU46" t="s">
        <v>49</v>
      </c>
      <c r="AV46">
        <v>0</v>
      </c>
      <c r="AW46">
        <v>2</v>
      </c>
      <c r="AX46">
        <v>48277449</v>
      </c>
      <c r="AY46">
        <v>1</v>
      </c>
      <c r="AZ46">
        <v>0</v>
      </c>
      <c r="BA46">
        <v>42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Y46*Source!I79</f>
        <v>52.484988000000001</v>
      </c>
      <c r="CY46">
        <f>AB46</f>
        <v>72.239999999999995</v>
      </c>
      <c r="CZ46">
        <f>AF46</f>
        <v>6.9</v>
      </c>
      <c r="DA46">
        <f>AJ46</f>
        <v>10.47</v>
      </c>
      <c r="DB46">
        <f t="shared" si="5"/>
        <v>37.799999999999997</v>
      </c>
      <c r="DC46">
        <f t="shared" si="6"/>
        <v>0</v>
      </c>
    </row>
    <row r="47" spans="1:107" x14ac:dyDescent="0.2">
      <c r="A47">
        <f>ROW(Source!A79)</f>
        <v>79</v>
      </c>
      <c r="B47">
        <v>48276314</v>
      </c>
      <c r="C47">
        <v>48276702</v>
      </c>
      <c r="D47">
        <v>29174913</v>
      </c>
      <c r="E47">
        <v>1</v>
      </c>
      <c r="F47">
        <v>1</v>
      </c>
      <c r="G47">
        <v>1</v>
      </c>
      <c r="H47">
        <v>2</v>
      </c>
      <c r="I47" t="s">
        <v>396</v>
      </c>
      <c r="J47" t="s">
        <v>397</v>
      </c>
      <c r="K47" t="s">
        <v>398</v>
      </c>
      <c r="L47">
        <v>1368</v>
      </c>
      <c r="N47">
        <v>1011</v>
      </c>
      <c r="O47" t="s">
        <v>364</v>
      </c>
      <c r="P47" t="s">
        <v>364</v>
      </c>
      <c r="Q47">
        <v>1</v>
      </c>
      <c r="W47">
        <v>0</v>
      </c>
      <c r="X47">
        <v>1230759911</v>
      </c>
      <c r="Y47">
        <v>1.8215999999999999</v>
      </c>
      <c r="AA47">
        <v>0</v>
      </c>
      <c r="AB47">
        <v>887.39</v>
      </c>
      <c r="AC47">
        <v>348.58</v>
      </c>
      <c r="AD47">
        <v>0</v>
      </c>
      <c r="AE47">
        <v>0</v>
      </c>
      <c r="AF47">
        <v>87.17</v>
      </c>
      <c r="AG47">
        <v>11.6</v>
      </c>
      <c r="AH47">
        <v>0</v>
      </c>
      <c r="AI47">
        <v>1</v>
      </c>
      <c r="AJ47">
        <v>10.18</v>
      </c>
      <c r="AK47">
        <v>30.05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6</v>
      </c>
      <c r="AT47">
        <v>1.32</v>
      </c>
      <c r="AU47" t="s">
        <v>49</v>
      </c>
      <c r="AV47">
        <v>0</v>
      </c>
      <c r="AW47">
        <v>2</v>
      </c>
      <c r="AX47">
        <v>48277450</v>
      </c>
      <c r="AY47">
        <v>1</v>
      </c>
      <c r="AZ47">
        <v>0</v>
      </c>
      <c r="BA47">
        <v>43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Y47*Source!I79</f>
        <v>17.450927999999998</v>
      </c>
      <c r="CY47">
        <f>AB47</f>
        <v>887.39</v>
      </c>
      <c r="CZ47">
        <f>AF47</f>
        <v>87.17</v>
      </c>
      <c r="DA47">
        <f>AJ47</f>
        <v>10.18</v>
      </c>
      <c r="DB47">
        <f t="shared" si="5"/>
        <v>158.78</v>
      </c>
      <c r="DC47">
        <f t="shared" si="6"/>
        <v>21.13</v>
      </c>
    </row>
    <row r="48" spans="1:107" x14ac:dyDescent="0.2">
      <c r="A48">
        <f>ROW(Source!A79)</f>
        <v>79</v>
      </c>
      <c r="B48">
        <v>48276314</v>
      </c>
      <c r="C48">
        <v>48276702</v>
      </c>
      <c r="D48">
        <v>29113345</v>
      </c>
      <c r="E48">
        <v>1</v>
      </c>
      <c r="F48">
        <v>1</v>
      </c>
      <c r="G48">
        <v>1</v>
      </c>
      <c r="H48">
        <v>3</v>
      </c>
      <c r="I48" t="s">
        <v>434</v>
      </c>
      <c r="J48" t="s">
        <v>435</v>
      </c>
      <c r="K48" t="s">
        <v>436</v>
      </c>
      <c r="L48">
        <v>1348</v>
      </c>
      <c r="N48">
        <v>1009</v>
      </c>
      <c r="O48" t="s">
        <v>215</v>
      </c>
      <c r="P48" t="s">
        <v>215</v>
      </c>
      <c r="Q48">
        <v>1000</v>
      </c>
      <c r="W48">
        <v>0</v>
      </c>
      <c r="X48">
        <v>-906425608</v>
      </c>
      <c r="Y48">
        <v>0.01</v>
      </c>
      <c r="AA48">
        <v>34232.22</v>
      </c>
      <c r="AB48">
        <v>0</v>
      </c>
      <c r="AC48">
        <v>0</v>
      </c>
      <c r="AD48">
        <v>0</v>
      </c>
      <c r="AE48">
        <v>5763</v>
      </c>
      <c r="AF48">
        <v>0</v>
      </c>
      <c r="AG48">
        <v>0</v>
      </c>
      <c r="AH48">
        <v>0</v>
      </c>
      <c r="AI48">
        <v>5.94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0.01</v>
      </c>
      <c r="AU48" t="s">
        <v>6</v>
      </c>
      <c r="AV48">
        <v>0</v>
      </c>
      <c r="AW48">
        <v>2</v>
      </c>
      <c r="AX48">
        <v>48277451</v>
      </c>
      <c r="AY48">
        <v>1</v>
      </c>
      <c r="AZ48">
        <v>0</v>
      </c>
      <c r="BA48">
        <v>44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Y48*Source!I79</f>
        <v>9.5799999999999996E-2</v>
      </c>
      <c r="CY48">
        <f t="shared" ref="CY48:CY53" si="7">AA48</f>
        <v>34232.22</v>
      </c>
      <c r="CZ48">
        <f t="shared" ref="CZ48:CZ53" si="8">AE48</f>
        <v>5763</v>
      </c>
      <c r="DA48">
        <f t="shared" ref="DA48:DA53" si="9">AI48</f>
        <v>5.94</v>
      </c>
      <c r="DB48">
        <f t="shared" ref="DB48:DB53" si="10">ROUND(ROUND(AT48*CZ48,2),2)</f>
        <v>57.63</v>
      </c>
      <c r="DC48">
        <f t="shared" ref="DC48:DC53" si="11">ROUND(ROUND(AT48*AG48,2),2)</f>
        <v>0</v>
      </c>
    </row>
    <row r="49" spans="1:107" x14ac:dyDescent="0.2">
      <c r="A49">
        <f>ROW(Source!A79)</f>
        <v>79</v>
      </c>
      <c r="B49">
        <v>48276314</v>
      </c>
      <c r="C49">
        <v>48276702</v>
      </c>
      <c r="D49">
        <v>29113386</v>
      </c>
      <c r="E49">
        <v>1</v>
      </c>
      <c r="F49">
        <v>1</v>
      </c>
      <c r="G49">
        <v>1</v>
      </c>
      <c r="H49">
        <v>3</v>
      </c>
      <c r="I49" t="s">
        <v>399</v>
      </c>
      <c r="J49" t="s">
        <v>400</v>
      </c>
      <c r="K49" t="s">
        <v>401</v>
      </c>
      <c r="L49">
        <v>1348</v>
      </c>
      <c r="N49">
        <v>1009</v>
      </c>
      <c r="O49" t="s">
        <v>215</v>
      </c>
      <c r="P49" t="s">
        <v>215</v>
      </c>
      <c r="Q49">
        <v>1000</v>
      </c>
      <c r="W49">
        <v>0</v>
      </c>
      <c r="X49">
        <v>-1452013394</v>
      </c>
      <c r="Y49">
        <v>1E-3</v>
      </c>
      <c r="AA49">
        <v>42000.08</v>
      </c>
      <c r="AB49">
        <v>0</v>
      </c>
      <c r="AC49">
        <v>0</v>
      </c>
      <c r="AD49">
        <v>0</v>
      </c>
      <c r="AE49">
        <v>5000.01</v>
      </c>
      <c r="AF49">
        <v>0</v>
      </c>
      <c r="AG49">
        <v>0</v>
      </c>
      <c r="AH49">
        <v>0</v>
      </c>
      <c r="AI49">
        <v>8.4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1E-3</v>
      </c>
      <c r="AU49" t="s">
        <v>6</v>
      </c>
      <c r="AV49">
        <v>0</v>
      </c>
      <c r="AW49">
        <v>2</v>
      </c>
      <c r="AX49">
        <v>48277452</v>
      </c>
      <c r="AY49">
        <v>1</v>
      </c>
      <c r="AZ49">
        <v>0</v>
      </c>
      <c r="BA49">
        <v>45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Y49*Source!I79</f>
        <v>9.58E-3</v>
      </c>
      <c r="CY49">
        <f t="shared" si="7"/>
        <v>42000.08</v>
      </c>
      <c r="CZ49">
        <f t="shared" si="8"/>
        <v>5000.01</v>
      </c>
      <c r="DA49">
        <f t="shared" si="9"/>
        <v>8.4</v>
      </c>
      <c r="DB49">
        <f t="shared" si="10"/>
        <v>5</v>
      </c>
      <c r="DC49">
        <f t="shared" si="11"/>
        <v>0</v>
      </c>
    </row>
    <row r="50" spans="1:107" x14ac:dyDescent="0.2">
      <c r="A50">
        <f>ROW(Source!A79)</f>
        <v>79</v>
      </c>
      <c r="B50">
        <v>48276314</v>
      </c>
      <c r="C50">
        <v>48276702</v>
      </c>
      <c r="D50">
        <v>29110426</v>
      </c>
      <c r="E50">
        <v>1</v>
      </c>
      <c r="F50">
        <v>1</v>
      </c>
      <c r="G50">
        <v>1</v>
      </c>
      <c r="H50">
        <v>3</v>
      </c>
      <c r="I50" t="s">
        <v>437</v>
      </c>
      <c r="J50" t="s">
        <v>438</v>
      </c>
      <c r="K50" t="s">
        <v>439</v>
      </c>
      <c r="L50">
        <v>1346</v>
      </c>
      <c r="N50">
        <v>1009</v>
      </c>
      <c r="O50" t="s">
        <v>128</v>
      </c>
      <c r="P50" t="s">
        <v>128</v>
      </c>
      <c r="Q50">
        <v>1</v>
      </c>
      <c r="W50">
        <v>0</v>
      </c>
      <c r="X50">
        <v>-1768004575</v>
      </c>
      <c r="Y50">
        <v>0.25</v>
      </c>
      <c r="AA50">
        <v>63.36</v>
      </c>
      <c r="AB50">
        <v>0</v>
      </c>
      <c r="AC50">
        <v>0</v>
      </c>
      <c r="AD50">
        <v>0</v>
      </c>
      <c r="AE50">
        <v>28.67</v>
      </c>
      <c r="AF50">
        <v>0</v>
      </c>
      <c r="AG50">
        <v>0</v>
      </c>
      <c r="AH50">
        <v>0</v>
      </c>
      <c r="AI50">
        <v>2.21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0.25</v>
      </c>
      <c r="AU50" t="s">
        <v>6</v>
      </c>
      <c r="AV50">
        <v>0</v>
      </c>
      <c r="AW50">
        <v>2</v>
      </c>
      <c r="AX50">
        <v>48277453</v>
      </c>
      <c r="AY50">
        <v>1</v>
      </c>
      <c r="AZ50">
        <v>0</v>
      </c>
      <c r="BA50">
        <v>46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Y50*Source!I79</f>
        <v>2.395</v>
      </c>
      <c r="CY50">
        <f t="shared" si="7"/>
        <v>63.36</v>
      </c>
      <c r="CZ50">
        <f t="shared" si="8"/>
        <v>28.67</v>
      </c>
      <c r="DA50">
        <f t="shared" si="9"/>
        <v>2.21</v>
      </c>
      <c r="DB50">
        <f t="shared" si="10"/>
        <v>7.17</v>
      </c>
      <c r="DC50">
        <f t="shared" si="11"/>
        <v>0</v>
      </c>
    </row>
    <row r="51" spans="1:107" x14ac:dyDescent="0.2">
      <c r="A51">
        <f>ROW(Source!A79)</f>
        <v>79</v>
      </c>
      <c r="B51">
        <v>48276314</v>
      </c>
      <c r="C51">
        <v>48276702</v>
      </c>
      <c r="D51">
        <v>29110793</v>
      </c>
      <c r="E51">
        <v>1</v>
      </c>
      <c r="F51">
        <v>1</v>
      </c>
      <c r="G51">
        <v>1</v>
      </c>
      <c r="H51">
        <v>3</v>
      </c>
      <c r="I51" t="s">
        <v>440</v>
      </c>
      <c r="J51" t="s">
        <v>441</v>
      </c>
      <c r="K51" t="s">
        <v>442</v>
      </c>
      <c r="L51">
        <v>1308</v>
      </c>
      <c r="N51">
        <v>1003</v>
      </c>
      <c r="O51" t="s">
        <v>90</v>
      </c>
      <c r="P51" t="s">
        <v>90</v>
      </c>
      <c r="Q51">
        <v>100</v>
      </c>
      <c r="W51">
        <v>0</v>
      </c>
      <c r="X51">
        <v>611857035</v>
      </c>
      <c r="Y51">
        <v>9.5999999999999992E-3</v>
      </c>
      <c r="AA51">
        <v>565.69000000000005</v>
      </c>
      <c r="AB51">
        <v>0</v>
      </c>
      <c r="AC51">
        <v>0</v>
      </c>
      <c r="AD51">
        <v>0</v>
      </c>
      <c r="AE51">
        <v>120.36</v>
      </c>
      <c r="AF51">
        <v>0</v>
      </c>
      <c r="AG51">
        <v>0</v>
      </c>
      <c r="AH51">
        <v>0</v>
      </c>
      <c r="AI51">
        <v>4.7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9.5999999999999992E-3</v>
      </c>
      <c r="AU51" t="s">
        <v>6</v>
      </c>
      <c r="AV51">
        <v>0</v>
      </c>
      <c r="AW51">
        <v>2</v>
      </c>
      <c r="AX51">
        <v>48277454</v>
      </c>
      <c r="AY51">
        <v>1</v>
      </c>
      <c r="AZ51">
        <v>0</v>
      </c>
      <c r="BA51">
        <v>47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Y51*Source!I79</f>
        <v>9.1967999999999994E-2</v>
      </c>
      <c r="CY51">
        <f t="shared" si="7"/>
        <v>565.69000000000005</v>
      </c>
      <c r="CZ51">
        <f t="shared" si="8"/>
        <v>120.36</v>
      </c>
      <c r="DA51">
        <f t="shared" si="9"/>
        <v>4.7</v>
      </c>
      <c r="DB51">
        <f t="shared" si="10"/>
        <v>1.1599999999999999</v>
      </c>
      <c r="DC51">
        <f t="shared" si="11"/>
        <v>0</v>
      </c>
    </row>
    <row r="52" spans="1:107" x14ac:dyDescent="0.2">
      <c r="A52">
        <f>ROW(Source!A79)</f>
        <v>79</v>
      </c>
      <c r="B52">
        <v>48276314</v>
      </c>
      <c r="C52">
        <v>48276702</v>
      </c>
      <c r="D52">
        <v>29122430</v>
      </c>
      <c r="E52">
        <v>1</v>
      </c>
      <c r="F52">
        <v>1</v>
      </c>
      <c r="G52">
        <v>1</v>
      </c>
      <c r="H52">
        <v>3</v>
      </c>
      <c r="I52" t="s">
        <v>443</v>
      </c>
      <c r="J52" t="s">
        <v>444</v>
      </c>
      <c r="K52" t="s">
        <v>445</v>
      </c>
      <c r="L52">
        <v>1348</v>
      </c>
      <c r="N52">
        <v>1009</v>
      </c>
      <c r="O52" t="s">
        <v>215</v>
      </c>
      <c r="P52" t="s">
        <v>215</v>
      </c>
      <c r="Q52">
        <v>1000</v>
      </c>
      <c r="W52">
        <v>0</v>
      </c>
      <c r="X52">
        <v>-2033855571</v>
      </c>
      <c r="Y52">
        <v>6.0000000000000002E-5</v>
      </c>
      <c r="AA52">
        <v>85748.26</v>
      </c>
      <c r="AB52">
        <v>0</v>
      </c>
      <c r="AC52">
        <v>0</v>
      </c>
      <c r="AD52">
        <v>0</v>
      </c>
      <c r="AE52">
        <v>9073.89</v>
      </c>
      <c r="AF52">
        <v>0</v>
      </c>
      <c r="AG52">
        <v>0</v>
      </c>
      <c r="AH52">
        <v>0</v>
      </c>
      <c r="AI52">
        <v>9.4499999999999993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6.0000000000000002E-5</v>
      </c>
      <c r="AU52" t="s">
        <v>6</v>
      </c>
      <c r="AV52">
        <v>0</v>
      </c>
      <c r="AW52">
        <v>2</v>
      </c>
      <c r="AX52">
        <v>48277455</v>
      </c>
      <c r="AY52">
        <v>1</v>
      </c>
      <c r="AZ52">
        <v>0</v>
      </c>
      <c r="BA52">
        <v>48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Y52*Source!I79</f>
        <v>5.7479999999999999E-4</v>
      </c>
      <c r="CY52">
        <f t="shared" si="7"/>
        <v>85748.26</v>
      </c>
      <c r="CZ52">
        <f t="shared" si="8"/>
        <v>9073.89</v>
      </c>
      <c r="DA52">
        <f t="shared" si="9"/>
        <v>9.4499999999999993</v>
      </c>
      <c r="DB52">
        <f t="shared" si="10"/>
        <v>0.54</v>
      </c>
      <c r="DC52">
        <f t="shared" si="11"/>
        <v>0</v>
      </c>
    </row>
    <row r="53" spans="1:107" x14ac:dyDescent="0.2">
      <c r="A53">
        <f>ROW(Source!A79)</f>
        <v>79</v>
      </c>
      <c r="B53">
        <v>48276314</v>
      </c>
      <c r="C53">
        <v>48276702</v>
      </c>
      <c r="D53">
        <v>29171808</v>
      </c>
      <c r="E53">
        <v>1</v>
      </c>
      <c r="F53">
        <v>1</v>
      </c>
      <c r="G53">
        <v>1</v>
      </c>
      <c r="H53">
        <v>3</v>
      </c>
      <c r="I53" t="s">
        <v>384</v>
      </c>
      <c r="J53" t="s">
        <v>385</v>
      </c>
      <c r="K53" t="s">
        <v>386</v>
      </c>
      <c r="L53">
        <v>1374</v>
      </c>
      <c r="N53">
        <v>1013</v>
      </c>
      <c r="O53" t="s">
        <v>387</v>
      </c>
      <c r="P53" t="s">
        <v>387</v>
      </c>
      <c r="Q53">
        <v>1</v>
      </c>
      <c r="W53">
        <v>0</v>
      </c>
      <c r="X53">
        <v>-915781824</v>
      </c>
      <c r="Y53">
        <v>3.36</v>
      </c>
      <c r="AA53">
        <v>1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3.36</v>
      </c>
      <c r="AU53" t="s">
        <v>6</v>
      </c>
      <c r="AV53">
        <v>0</v>
      </c>
      <c r="AW53">
        <v>2</v>
      </c>
      <c r="AX53">
        <v>48277456</v>
      </c>
      <c r="AY53">
        <v>1</v>
      </c>
      <c r="AZ53">
        <v>0</v>
      </c>
      <c r="BA53">
        <v>49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Y53*Source!I79</f>
        <v>32.188800000000001</v>
      </c>
      <c r="CY53">
        <f t="shared" si="7"/>
        <v>1</v>
      </c>
      <c r="CZ53">
        <f t="shared" si="8"/>
        <v>1</v>
      </c>
      <c r="DA53">
        <f t="shared" si="9"/>
        <v>1</v>
      </c>
      <c r="DB53">
        <f t="shared" si="10"/>
        <v>3.36</v>
      </c>
      <c r="DC53">
        <f t="shared" si="11"/>
        <v>0</v>
      </c>
    </row>
    <row r="54" spans="1:107" x14ac:dyDescent="0.2">
      <c r="A54">
        <f>ROW(Source!A80)</f>
        <v>80</v>
      </c>
      <c r="B54">
        <v>48276314</v>
      </c>
      <c r="C54">
        <v>48276727</v>
      </c>
      <c r="D54">
        <v>29362762</v>
      </c>
      <c r="E54">
        <v>1</v>
      </c>
      <c r="F54">
        <v>1</v>
      </c>
      <c r="G54">
        <v>1</v>
      </c>
      <c r="H54">
        <v>1</v>
      </c>
      <c r="I54" t="s">
        <v>425</v>
      </c>
      <c r="J54" t="s">
        <v>6</v>
      </c>
      <c r="K54" t="s">
        <v>426</v>
      </c>
      <c r="L54">
        <v>1369</v>
      </c>
      <c r="N54">
        <v>1013</v>
      </c>
      <c r="O54" t="s">
        <v>356</v>
      </c>
      <c r="P54" t="s">
        <v>356</v>
      </c>
      <c r="Q54">
        <v>1</v>
      </c>
      <c r="W54">
        <v>0</v>
      </c>
      <c r="X54">
        <v>604758886</v>
      </c>
      <c r="Y54">
        <v>31.795199999999998</v>
      </c>
      <c r="AA54">
        <v>0</v>
      </c>
      <c r="AB54">
        <v>0</v>
      </c>
      <c r="AC54">
        <v>0</v>
      </c>
      <c r="AD54">
        <v>289.08</v>
      </c>
      <c r="AE54">
        <v>0</v>
      </c>
      <c r="AF54">
        <v>0</v>
      </c>
      <c r="AG54">
        <v>0</v>
      </c>
      <c r="AH54">
        <v>289.08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6</v>
      </c>
      <c r="AT54">
        <v>23.04</v>
      </c>
      <c r="AU54" t="s">
        <v>49</v>
      </c>
      <c r="AV54">
        <v>1</v>
      </c>
      <c r="AW54">
        <v>2</v>
      </c>
      <c r="AX54">
        <v>48277457</v>
      </c>
      <c r="AY54">
        <v>1</v>
      </c>
      <c r="AZ54">
        <v>0</v>
      </c>
      <c r="BA54">
        <v>50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Y54*Source!I80</f>
        <v>22.256639999999997</v>
      </c>
      <c r="CY54">
        <f>AD54</f>
        <v>289.08</v>
      </c>
      <c r="CZ54">
        <f>AH54</f>
        <v>289.08</v>
      </c>
      <c r="DA54">
        <f>AL54</f>
        <v>1</v>
      </c>
      <c r="DB54">
        <f t="shared" ref="DB54:DB59" si="12">ROUND(((ROUND(AT54*CZ54,2)*1.2)*1.15),2)</f>
        <v>9191.35</v>
      </c>
      <c r="DC54">
        <f t="shared" ref="DC54:DC59" si="13">ROUND(((ROUND(AT54*AG54,2)*1.2)*1.15),2)</f>
        <v>0</v>
      </c>
    </row>
    <row r="55" spans="1:107" x14ac:dyDescent="0.2">
      <c r="A55">
        <f>ROW(Source!A80)</f>
        <v>80</v>
      </c>
      <c r="B55">
        <v>48276314</v>
      </c>
      <c r="C55">
        <v>48276727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40</v>
      </c>
      <c r="J55" t="s">
        <v>6</v>
      </c>
      <c r="K55" t="s">
        <v>359</v>
      </c>
      <c r="L55">
        <v>608254</v>
      </c>
      <c r="N55">
        <v>1013</v>
      </c>
      <c r="O55" t="s">
        <v>360</v>
      </c>
      <c r="P55" t="s">
        <v>360</v>
      </c>
      <c r="Q55">
        <v>1</v>
      </c>
      <c r="W55">
        <v>0</v>
      </c>
      <c r="X55">
        <v>-185737400</v>
      </c>
      <c r="Y55">
        <v>0.27599999999999997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0.2</v>
      </c>
      <c r="AU55" t="s">
        <v>49</v>
      </c>
      <c r="AV55">
        <v>2</v>
      </c>
      <c r="AW55">
        <v>2</v>
      </c>
      <c r="AX55">
        <v>48277458</v>
      </c>
      <c r="AY55">
        <v>1</v>
      </c>
      <c r="AZ55">
        <v>0</v>
      </c>
      <c r="BA55">
        <v>51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Y55*Source!I80</f>
        <v>0.19319999999999996</v>
      </c>
      <c r="CY55">
        <f>AD55</f>
        <v>0</v>
      </c>
      <c r="CZ55">
        <f>AH55</f>
        <v>0</v>
      </c>
      <c r="DA55">
        <f>AL55</f>
        <v>1</v>
      </c>
      <c r="DB55">
        <f t="shared" si="12"/>
        <v>0</v>
      </c>
      <c r="DC55">
        <f t="shared" si="13"/>
        <v>0</v>
      </c>
    </row>
    <row r="56" spans="1:107" x14ac:dyDescent="0.2">
      <c r="A56">
        <f>ROW(Source!A80)</f>
        <v>80</v>
      </c>
      <c r="B56">
        <v>48276314</v>
      </c>
      <c r="C56">
        <v>48276727</v>
      </c>
      <c r="D56">
        <v>29172362</v>
      </c>
      <c r="E56">
        <v>1</v>
      </c>
      <c r="F56">
        <v>1</v>
      </c>
      <c r="G56">
        <v>1</v>
      </c>
      <c r="H56">
        <v>2</v>
      </c>
      <c r="I56" t="s">
        <v>390</v>
      </c>
      <c r="J56" t="s">
        <v>391</v>
      </c>
      <c r="K56" t="s">
        <v>392</v>
      </c>
      <c r="L56">
        <v>1368</v>
      </c>
      <c r="N56">
        <v>1011</v>
      </c>
      <c r="O56" t="s">
        <v>364</v>
      </c>
      <c r="P56" t="s">
        <v>364</v>
      </c>
      <c r="Q56">
        <v>1</v>
      </c>
      <c r="W56">
        <v>0</v>
      </c>
      <c r="X56">
        <v>783836208</v>
      </c>
      <c r="Y56">
        <v>0.27599999999999997</v>
      </c>
      <c r="AA56">
        <v>0</v>
      </c>
      <c r="AB56">
        <v>1058.3499999999999</v>
      </c>
      <c r="AC56">
        <v>405.68</v>
      </c>
      <c r="AD56">
        <v>0</v>
      </c>
      <c r="AE56">
        <v>0</v>
      </c>
      <c r="AF56">
        <v>134.65</v>
      </c>
      <c r="AG56">
        <v>13.5</v>
      </c>
      <c r="AH56">
        <v>0</v>
      </c>
      <c r="AI56">
        <v>1</v>
      </c>
      <c r="AJ56">
        <v>7.86</v>
      </c>
      <c r="AK56">
        <v>30.05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6</v>
      </c>
      <c r="AT56">
        <v>0.2</v>
      </c>
      <c r="AU56" t="s">
        <v>49</v>
      </c>
      <c r="AV56">
        <v>0</v>
      </c>
      <c r="AW56">
        <v>2</v>
      </c>
      <c r="AX56">
        <v>48277459</v>
      </c>
      <c r="AY56">
        <v>1</v>
      </c>
      <c r="AZ56">
        <v>0</v>
      </c>
      <c r="BA56">
        <v>52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Y56*Source!I80</f>
        <v>0.19319999999999996</v>
      </c>
      <c r="CY56">
        <f>AB56</f>
        <v>1058.3499999999999</v>
      </c>
      <c r="CZ56">
        <f>AF56</f>
        <v>134.65</v>
      </c>
      <c r="DA56">
        <f>AJ56</f>
        <v>7.86</v>
      </c>
      <c r="DB56">
        <f t="shared" si="12"/>
        <v>37.159999999999997</v>
      </c>
      <c r="DC56">
        <f t="shared" si="13"/>
        <v>3.73</v>
      </c>
    </row>
    <row r="57" spans="1:107" x14ac:dyDescent="0.2">
      <c r="A57">
        <f>ROW(Source!A80)</f>
        <v>80</v>
      </c>
      <c r="B57">
        <v>48276314</v>
      </c>
      <c r="C57">
        <v>48276727</v>
      </c>
      <c r="D57">
        <v>29172498</v>
      </c>
      <c r="E57">
        <v>1</v>
      </c>
      <c r="F57">
        <v>1</v>
      </c>
      <c r="G57">
        <v>1</v>
      </c>
      <c r="H57">
        <v>2</v>
      </c>
      <c r="I57" t="s">
        <v>428</v>
      </c>
      <c r="J57" t="s">
        <v>429</v>
      </c>
      <c r="K57" t="s">
        <v>430</v>
      </c>
      <c r="L57">
        <v>1368</v>
      </c>
      <c r="N57">
        <v>1011</v>
      </c>
      <c r="O57" t="s">
        <v>364</v>
      </c>
      <c r="P57" t="s">
        <v>364</v>
      </c>
      <c r="Q57">
        <v>1</v>
      </c>
      <c r="W57">
        <v>0</v>
      </c>
      <c r="X57">
        <v>-426164714</v>
      </c>
      <c r="Y57">
        <v>7.0931999999999986</v>
      </c>
      <c r="AA57">
        <v>0</v>
      </c>
      <c r="AB57">
        <v>10.07</v>
      </c>
      <c r="AC57">
        <v>0</v>
      </c>
      <c r="AD57">
        <v>0</v>
      </c>
      <c r="AE57">
        <v>0</v>
      </c>
      <c r="AF57">
        <v>2.37</v>
      </c>
      <c r="AG57">
        <v>0</v>
      </c>
      <c r="AH57">
        <v>0</v>
      </c>
      <c r="AI57">
        <v>1</v>
      </c>
      <c r="AJ57">
        <v>4.25</v>
      </c>
      <c r="AK57">
        <v>30.05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5.14</v>
      </c>
      <c r="AU57" t="s">
        <v>49</v>
      </c>
      <c r="AV57">
        <v>0</v>
      </c>
      <c r="AW57">
        <v>2</v>
      </c>
      <c r="AX57">
        <v>48277460</v>
      </c>
      <c r="AY57">
        <v>1</v>
      </c>
      <c r="AZ57">
        <v>0</v>
      </c>
      <c r="BA57">
        <v>53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Y57*Source!I80</f>
        <v>4.9652399999999988</v>
      </c>
      <c r="CY57">
        <f>AB57</f>
        <v>10.07</v>
      </c>
      <c r="CZ57">
        <f>AF57</f>
        <v>2.37</v>
      </c>
      <c r="DA57">
        <f>AJ57</f>
        <v>4.25</v>
      </c>
      <c r="DB57">
        <f t="shared" si="12"/>
        <v>16.809999999999999</v>
      </c>
      <c r="DC57">
        <f t="shared" si="13"/>
        <v>0</v>
      </c>
    </row>
    <row r="58" spans="1:107" x14ac:dyDescent="0.2">
      <c r="A58">
        <f>ROW(Source!A80)</f>
        <v>80</v>
      </c>
      <c r="B58">
        <v>48276314</v>
      </c>
      <c r="C58">
        <v>48276727</v>
      </c>
      <c r="D58">
        <v>29172516</v>
      </c>
      <c r="E58">
        <v>1</v>
      </c>
      <c r="F58">
        <v>1</v>
      </c>
      <c r="G58">
        <v>1</v>
      </c>
      <c r="H58">
        <v>2</v>
      </c>
      <c r="I58" t="s">
        <v>431</v>
      </c>
      <c r="J58" t="s">
        <v>432</v>
      </c>
      <c r="K58" t="s">
        <v>433</v>
      </c>
      <c r="L58">
        <v>1368</v>
      </c>
      <c r="N58">
        <v>1011</v>
      </c>
      <c r="O58" t="s">
        <v>364</v>
      </c>
      <c r="P58" t="s">
        <v>364</v>
      </c>
      <c r="Q58">
        <v>1</v>
      </c>
      <c r="W58">
        <v>0</v>
      </c>
      <c r="X58">
        <v>1843081982</v>
      </c>
      <c r="Y58">
        <v>7.0931999999999986</v>
      </c>
      <c r="AA58">
        <v>0</v>
      </c>
      <c r="AB58">
        <v>72.239999999999995</v>
      </c>
      <c r="AC58">
        <v>0</v>
      </c>
      <c r="AD58">
        <v>0</v>
      </c>
      <c r="AE58">
        <v>0</v>
      </c>
      <c r="AF58">
        <v>6.9</v>
      </c>
      <c r="AG58">
        <v>0</v>
      </c>
      <c r="AH58">
        <v>0</v>
      </c>
      <c r="AI58">
        <v>1</v>
      </c>
      <c r="AJ58">
        <v>10.47</v>
      </c>
      <c r="AK58">
        <v>30.05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6</v>
      </c>
      <c r="AT58">
        <v>5.14</v>
      </c>
      <c r="AU58" t="s">
        <v>49</v>
      </c>
      <c r="AV58">
        <v>0</v>
      </c>
      <c r="AW58">
        <v>2</v>
      </c>
      <c r="AX58">
        <v>48277461</v>
      </c>
      <c r="AY58">
        <v>1</v>
      </c>
      <c r="AZ58">
        <v>0</v>
      </c>
      <c r="BA58">
        <v>54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Y58*Source!I80</f>
        <v>4.9652399999999988</v>
      </c>
      <c r="CY58">
        <f>AB58</f>
        <v>72.239999999999995</v>
      </c>
      <c r="CZ58">
        <f>AF58</f>
        <v>6.9</v>
      </c>
      <c r="DA58">
        <f>AJ58</f>
        <v>10.47</v>
      </c>
      <c r="DB58">
        <f t="shared" si="12"/>
        <v>48.95</v>
      </c>
      <c r="DC58">
        <f t="shared" si="13"/>
        <v>0</v>
      </c>
    </row>
    <row r="59" spans="1:107" x14ac:dyDescent="0.2">
      <c r="A59">
        <f>ROW(Source!A80)</f>
        <v>80</v>
      </c>
      <c r="B59">
        <v>48276314</v>
      </c>
      <c r="C59">
        <v>48276727</v>
      </c>
      <c r="D59">
        <v>29174913</v>
      </c>
      <c r="E59">
        <v>1</v>
      </c>
      <c r="F59">
        <v>1</v>
      </c>
      <c r="G59">
        <v>1</v>
      </c>
      <c r="H59">
        <v>2</v>
      </c>
      <c r="I59" t="s">
        <v>396</v>
      </c>
      <c r="J59" t="s">
        <v>397</v>
      </c>
      <c r="K59" t="s">
        <v>398</v>
      </c>
      <c r="L59">
        <v>1368</v>
      </c>
      <c r="N59">
        <v>1011</v>
      </c>
      <c r="O59" t="s">
        <v>364</v>
      </c>
      <c r="P59" t="s">
        <v>364</v>
      </c>
      <c r="Q59">
        <v>1</v>
      </c>
      <c r="W59">
        <v>0</v>
      </c>
      <c r="X59">
        <v>1230759911</v>
      </c>
      <c r="Y59">
        <v>0.27599999999999997</v>
      </c>
      <c r="AA59">
        <v>0</v>
      </c>
      <c r="AB59">
        <v>887.39</v>
      </c>
      <c r="AC59">
        <v>348.58</v>
      </c>
      <c r="AD59">
        <v>0</v>
      </c>
      <c r="AE59">
        <v>0</v>
      </c>
      <c r="AF59">
        <v>87.17</v>
      </c>
      <c r="AG59">
        <v>11.6</v>
      </c>
      <c r="AH59">
        <v>0</v>
      </c>
      <c r="AI59">
        <v>1</v>
      </c>
      <c r="AJ59">
        <v>10.18</v>
      </c>
      <c r="AK59">
        <v>30.05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0.2</v>
      </c>
      <c r="AU59" t="s">
        <v>49</v>
      </c>
      <c r="AV59">
        <v>0</v>
      </c>
      <c r="AW59">
        <v>2</v>
      </c>
      <c r="AX59">
        <v>48277462</v>
      </c>
      <c r="AY59">
        <v>1</v>
      </c>
      <c r="AZ59">
        <v>0</v>
      </c>
      <c r="BA59">
        <v>55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Y59*Source!I80</f>
        <v>0.19319999999999996</v>
      </c>
      <c r="CY59">
        <f>AB59</f>
        <v>887.39</v>
      </c>
      <c r="CZ59">
        <f>AF59</f>
        <v>87.17</v>
      </c>
      <c r="DA59">
        <f>AJ59</f>
        <v>10.18</v>
      </c>
      <c r="DB59">
        <f t="shared" si="12"/>
        <v>24.05</v>
      </c>
      <c r="DC59">
        <f t="shared" si="13"/>
        <v>3.2</v>
      </c>
    </row>
    <row r="60" spans="1:107" x14ac:dyDescent="0.2">
      <c r="A60">
        <f>ROW(Source!A80)</f>
        <v>80</v>
      </c>
      <c r="B60">
        <v>48276314</v>
      </c>
      <c r="C60">
        <v>48276727</v>
      </c>
      <c r="D60">
        <v>29110793</v>
      </c>
      <c r="E60">
        <v>1</v>
      </c>
      <c r="F60">
        <v>1</v>
      </c>
      <c r="G60">
        <v>1</v>
      </c>
      <c r="H60">
        <v>3</v>
      </c>
      <c r="I60" t="s">
        <v>440</v>
      </c>
      <c r="J60" t="s">
        <v>441</v>
      </c>
      <c r="K60" t="s">
        <v>442</v>
      </c>
      <c r="L60">
        <v>1308</v>
      </c>
      <c r="N60">
        <v>1003</v>
      </c>
      <c r="O60" t="s">
        <v>90</v>
      </c>
      <c r="P60" t="s">
        <v>90</v>
      </c>
      <c r="Q60">
        <v>100</v>
      </c>
      <c r="W60">
        <v>0</v>
      </c>
      <c r="X60">
        <v>611857035</v>
      </c>
      <c r="Y60">
        <v>9.5999999999999992E-3</v>
      </c>
      <c r="AA60">
        <v>565.69000000000005</v>
      </c>
      <c r="AB60">
        <v>0</v>
      </c>
      <c r="AC60">
        <v>0</v>
      </c>
      <c r="AD60">
        <v>0</v>
      </c>
      <c r="AE60">
        <v>120.36</v>
      </c>
      <c r="AF60">
        <v>0</v>
      </c>
      <c r="AG60">
        <v>0</v>
      </c>
      <c r="AH60">
        <v>0</v>
      </c>
      <c r="AI60">
        <v>4.7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9.5999999999999992E-3</v>
      </c>
      <c r="AU60" t="s">
        <v>6</v>
      </c>
      <c r="AV60">
        <v>0</v>
      </c>
      <c r="AW60">
        <v>2</v>
      </c>
      <c r="AX60">
        <v>48277463</v>
      </c>
      <c r="AY60">
        <v>1</v>
      </c>
      <c r="AZ60">
        <v>0</v>
      </c>
      <c r="BA60">
        <v>56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Y60*Source!I80</f>
        <v>6.7199999999999994E-3</v>
      </c>
      <c r="CY60">
        <f>AA60</f>
        <v>565.69000000000005</v>
      </c>
      <c r="CZ60">
        <f>AE60</f>
        <v>120.36</v>
      </c>
      <c r="DA60">
        <f>AI60</f>
        <v>4.7</v>
      </c>
      <c r="DB60">
        <f>ROUND(ROUND(AT60*CZ60,2),2)</f>
        <v>1.1599999999999999</v>
      </c>
      <c r="DC60">
        <f>ROUND(ROUND(AT60*AG60,2),2)</f>
        <v>0</v>
      </c>
    </row>
    <row r="61" spans="1:107" x14ac:dyDescent="0.2">
      <c r="A61">
        <f>ROW(Source!A80)</f>
        <v>80</v>
      </c>
      <c r="B61">
        <v>48276314</v>
      </c>
      <c r="C61">
        <v>48276727</v>
      </c>
      <c r="D61">
        <v>29122430</v>
      </c>
      <c r="E61">
        <v>1</v>
      </c>
      <c r="F61">
        <v>1</v>
      </c>
      <c r="G61">
        <v>1</v>
      </c>
      <c r="H61">
        <v>3</v>
      </c>
      <c r="I61" t="s">
        <v>443</v>
      </c>
      <c r="J61" t="s">
        <v>444</v>
      </c>
      <c r="K61" t="s">
        <v>445</v>
      </c>
      <c r="L61">
        <v>1348</v>
      </c>
      <c r="N61">
        <v>1009</v>
      </c>
      <c r="O61" t="s">
        <v>215</v>
      </c>
      <c r="P61" t="s">
        <v>215</v>
      </c>
      <c r="Q61">
        <v>1000</v>
      </c>
      <c r="W61">
        <v>0</v>
      </c>
      <c r="X61">
        <v>-2033855571</v>
      </c>
      <c r="Y61">
        <v>6.0000000000000002E-5</v>
      </c>
      <c r="AA61">
        <v>85748.26</v>
      </c>
      <c r="AB61">
        <v>0</v>
      </c>
      <c r="AC61">
        <v>0</v>
      </c>
      <c r="AD61">
        <v>0</v>
      </c>
      <c r="AE61">
        <v>9073.89</v>
      </c>
      <c r="AF61">
        <v>0</v>
      </c>
      <c r="AG61">
        <v>0</v>
      </c>
      <c r="AH61">
        <v>0</v>
      </c>
      <c r="AI61">
        <v>9.4499999999999993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6</v>
      </c>
      <c r="AT61">
        <v>6.0000000000000002E-5</v>
      </c>
      <c r="AU61" t="s">
        <v>6</v>
      </c>
      <c r="AV61">
        <v>0</v>
      </c>
      <c r="AW61">
        <v>2</v>
      </c>
      <c r="AX61">
        <v>48277464</v>
      </c>
      <c r="AY61">
        <v>1</v>
      </c>
      <c r="AZ61">
        <v>0</v>
      </c>
      <c r="BA61">
        <v>57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Y61*Source!I80</f>
        <v>4.1999999999999998E-5</v>
      </c>
      <c r="CY61">
        <f>AA61</f>
        <v>85748.26</v>
      </c>
      <c r="CZ61">
        <f>AE61</f>
        <v>9073.89</v>
      </c>
      <c r="DA61">
        <f>AI61</f>
        <v>9.4499999999999993</v>
      </c>
      <c r="DB61">
        <f>ROUND(ROUND(AT61*CZ61,2),2)</f>
        <v>0.54</v>
      </c>
      <c r="DC61">
        <f>ROUND(ROUND(AT61*AG61,2),2)</f>
        <v>0</v>
      </c>
    </row>
    <row r="62" spans="1:107" x14ac:dyDescent="0.2">
      <c r="A62">
        <f>ROW(Source!A80)</f>
        <v>80</v>
      </c>
      <c r="B62">
        <v>48276314</v>
      </c>
      <c r="C62">
        <v>48276727</v>
      </c>
      <c r="D62">
        <v>29158011</v>
      </c>
      <c r="E62">
        <v>1</v>
      </c>
      <c r="F62">
        <v>1</v>
      </c>
      <c r="G62">
        <v>1</v>
      </c>
      <c r="H62">
        <v>3</v>
      </c>
      <c r="I62" t="s">
        <v>446</v>
      </c>
      <c r="J62" t="s">
        <v>447</v>
      </c>
      <c r="K62" t="s">
        <v>448</v>
      </c>
      <c r="L62">
        <v>1346</v>
      </c>
      <c r="N62">
        <v>1009</v>
      </c>
      <c r="O62" t="s">
        <v>128</v>
      </c>
      <c r="P62" t="s">
        <v>128</v>
      </c>
      <c r="Q62">
        <v>1</v>
      </c>
      <c r="W62">
        <v>0</v>
      </c>
      <c r="X62">
        <v>-993947972</v>
      </c>
      <c r="Y62">
        <v>0.5</v>
      </c>
      <c r="AA62">
        <v>527.04</v>
      </c>
      <c r="AB62">
        <v>0</v>
      </c>
      <c r="AC62">
        <v>0</v>
      </c>
      <c r="AD62">
        <v>0</v>
      </c>
      <c r="AE62">
        <v>68.27</v>
      </c>
      <c r="AF62">
        <v>0</v>
      </c>
      <c r="AG62">
        <v>0</v>
      </c>
      <c r="AH62">
        <v>0</v>
      </c>
      <c r="AI62">
        <v>7.72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6</v>
      </c>
      <c r="AT62">
        <v>0.5</v>
      </c>
      <c r="AU62" t="s">
        <v>6</v>
      </c>
      <c r="AV62">
        <v>0</v>
      </c>
      <c r="AW62">
        <v>2</v>
      </c>
      <c r="AX62">
        <v>48277465</v>
      </c>
      <c r="AY62">
        <v>1</v>
      </c>
      <c r="AZ62">
        <v>0</v>
      </c>
      <c r="BA62">
        <v>58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Y62*Source!I80</f>
        <v>0.35</v>
      </c>
      <c r="CY62">
        <f>AA62</f>
        <v>527.04</v>
      </c>
      <c r="CZ62">
        <f>AE62</f>
        <v>68.27</v>
      </c>
      <c r="DA62">
        <f>AI62</f>
        <v>7.72</v>
      </c>
      <c r="DB62">
        <f>ROUND(ROUND(AT62*CZ62,2),2)</f>
        <v>34.14</v>
      </c>
      <c r="DC62">
        <f>ROUND(ROUND(AT62*AG62,2),2)</f>
        <v>0</v>
      </c>
    </row>
    <row r="63" spans="1:107" x14ac:dyDescent="0.2">
      <c r="A63">
        <f>ROW(Source!A80)</f>
        <v>80</v>
      </c>
      <c r="B63">
        <v>48276314</v>
      </c>
      <c r="C63">
        <v>48276727</v>
      </c>
      <c r="D63">
        <v>29171808</v>
      </c>
      <c r="E63">
        <v>1</v>
      </c>
      <c r="F63">
        <v>1</v>
      </c>
      <c r="G63">
        <v>1</v>
      </c>
      <c r="H63">
        <v>3</v>
      </c>
      <c r="I63" t="s">
        <v>384</v>
      </c>
      <c r="J63" t="s">
        <v>385</v>
      </c>
      <c r="K63" t="s">
        <v>386</v>
      </c>
      <c r="L63">
        <v>1374</v>
      </c>
      <c r="N63">
        <v>1013</v>
      </c>
      <c r="O63" t="s">
        <v>387</v>
      </c>
      <c r="P63" t="s">
        <v>387</v>
      </c>
      <c r="Q63">
        <v>1</v>
      </c>
      <c r="W63">
        <v>0</v>
      </c>
      <c r="X63">
        <v>-915781824</v>
      </c>
      <c r="Y63">
        <v>4.43</v>
      </c>
      <c r="AA63">
        <v>1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4.43</v>
      </c>
      <c r="AU63" t="s">
        <v>6</v>
      </c>
      <c r="AV63">
        <v>0</v>
      </c>
      <c r="AW63">
        <v>2</v>
      </c>
      <c r="AX63">
        <v>48277466</v>
      </c>
      <c r="AY63">
        <v>1</v>
      </c>
      <c r="AZ63">
        <v>0</v>
      </c>
      <c r="BA63">
        <v>59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Y63*Source!I80</f>
        <v>3.1009999999999995</v>
      </c>
      <c r="CY63">
        <f>AA63</f>
        <v>1</v>
      </c>
      <c r="CZ63">
        <f>AE63</f>
        <v>1</v>
      </c>
      <c r="DA63">
        <f>AI63</f>
        <v>1</v>
      </c>
      <c r="DB63">
        <f>ROUND(ROUND(AT63*CZ63,2),2)</f>
        <v>4.43</v>
      </c>
      <c r="DC63">
        <f>ROUND(ROUND(AT63*AG63,2),2)</f>
        <v>0</v>
      </c>
    </row>
    <row r="64" spans="1:107" x14ac:dyDescent="0.2">
      <c r="A64">
        <f>ROW(Source!A81)</f>
        <v>81</v>
      </c>
      <c r="B64">
        <v>48276314</v>
      </c>
      <c r="C64">
        <v>48277487</v>
      </c>
      <c r="D64">
        <v>29362762</v>
      </c>
      <c r="E64">
        <v>1</v>
      </c>
      <c r="F64">
        <v>1</v>
      </c>
      <c r="G64">
        <v>1</v>
      </c>
      <c r="H64">
        <v>1</v>
      </c>
      <c r="I64" t="s">
        <v>425</v>
      </c>
      <c r="J64" t="s">
        <v>6</v>
      </c>
      <c r="K64" t="s">
        <v>426</v>
      </c>
      <c r="L64">
        <v>1369</v>
      </c>
      <c r="N64">
        <v>1013</v>
      </c>
      <c r="O64" t="s">
        <v>356</v>
      </c>
      <c r="P64" t="s">
        <v>356</v>
      </c>
      <c r="Q64">
        <v>1</v>
      </c>
      <c r="W64">
        <v>0</v>
      </c>
      <c r="X64">
        <v>604758886</v>
      </c>
      <c r="Y64">
        <v>32.832000000000001</v>
      </c>
      <c r="AA64">
        <v>0</v>
      </c>
      <c r="AB64">
        <v>0</v>
      </c>
      <c r="AC64">
        <v>0</v>
      </c>
      <c r="AD64">
        <v>289.08</v>
      </c>
      <c r="AE64">
        <v>0</v>
      </c>
      <c r="AF64">
        <v>0</v>
      </c>
      <c r="AG64">
        <v>0</v>
      </c>
      <c r="AH64">
        <v>289.08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6</v>
      </c>
      <c r="AT64">
        <v>24.32</v>
      </c>
      <c r="AU64" t="s">
        <v>205</v>
      </c>
      <c r="AV64">
        <v>1</v>
      </c>
      <c r="AW64">
        <v>2</v>
      </c>
      <c r="AX64">
        <v>48277488</v>
      </c>
      <c r="AY64">
        <v>1</v>
      </c>
      <c r="AZ64">
        <v>0</v>
      </c>
      <c r="BA64">
        <v>60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Y64*Source!I81</f>
        <v>3.9398399999999998</v>
      </c>
      <c r="CY64">
        <f>AD64</f>
        <v>289.08</v>
      </c>
      <c r="CZ64">
        <f>AH64</f>
        <v>289.08</v>
      </c>
      <c r="DA64">
        <f>AL64</f>
        <v>1</v>
      </c>
      <c r="DB64">
        <f t="shared" ref="DB64:DB70" si="14">ROUND((ROUND(AT64*CZ64,2)*1.35),2)</f>
        <v>9491.08</v>
      </c>
      <c r="DC64">
        <f t="shared" ref="DC64:DC70" si="15">ROUND((ROUND(AT64*AG64,2)*1.35),2)</f>
        <v>0</v>
      </c>
    </row>
    <row r="65" spans="1:107" x14ac:dyDescent="0.2">
      <c r="A65">
        <f>ROW(Source!A81)</f>
        <v>81</v>
      </c>
      <c r="B65">
        <v>48276314</v>
      </c>
      <c r="C65">
        <v>48277487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40</v>
      </c>
      <c r="J65" t="s">
        <v>6</v>
      </c>
      <c r="K65" t="s">
        <v>359</v>
      </c>
      <c r="L65">
        <v>608254</v>
      </c>
      <c r="N65">
        <v>1013</v>
      </c>
      <c r="O65" t="s">
        <v>360</v>
      </c>
      <c r="P65" t="s">
        <v>360</v>
      </c>
      <c r="Q65">
        <v>1</v>
      </c>
      <c r="W65">
        <v>0</v>
      </c>
      <c r="X65">
        <v>-185737400</v>
      </c>
      <c r="Y65">
        <v>10.287000000000001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6</v>
      </c>
      <c r="AT65">
        <v>7.62</v>
      </c>
      <c r="AU65" t="s">
        <v>205</v>
      </c>
      <c r="AV65">
        <v>2</v>
      </c>
      <c r="AW65">
        <v>2</v>
      </c>
      <c r="AX65">
        <v>48277489</v>
      </c>
      <c r="AY65">
        <v>1</v>
      </c>
      <c r="AZ65">
        <v>0</v>
      </c>
      <c r="BA65">
        <v>61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Y65*Source!I81</f>
        <v>1.23444</v>
      </c>
      <c r="CY65">
        <f>AD65</f>
        <v>0</v>
      </c>
      <c r="CZ65">
        <f>AH65</f>
        <v>0</v>
      </c>
      <c r="DA65">
        <f>AL65</f>
        <v>1</v>
      </c>
      <c r="DB65">
        <f t="shared" si="14"/>
        <v>0</v>
      </c>
      <c r="DC65">
        <f t="shared" si="15"/>
        <v>0</v>
      </c>
    </row>
    <row r="66" spans="1:107" x14ac:dyDescent="0.2">
      <c r="A66">
        <f>ROW(Source!A81)</f>
        <v>81</v>
      </c>
      <c r="B66">
        <v>48276314</v>
      </c>
      <c r="C66">
        <v>48277487</v>
      </c>
      <c r="D66">
        <v>29172362</v>
      </c>
      <c r="E66">
        <v>1</v>
      </c>
      <c r="F66">
        <v>1</v>
      </c>
      <c r="G66">
        <v>1</v>
      </c>
      <c r="H66">
        <v>2</v>
      </c>
      <c r="I66" t="s">
        <v>390</v>
      </c>
      <c r="J66" t="s">
        <v>391</v>
      </c>
      <c r="K66" t="s">
        <v>392</v>
      </c>
      <c r="L66">
        <v>1368</v>
      </c>
      <c r="N66">
        <v>1011</v>
      </c>
      <c r="O66" t="s">
        <v>364</v>
      </c>
      <c r="P66" t="s">
        <v>364</v>
      </c>
      <c r="Q66">
        <v>1</v>
      </c>
      <c r="W66">
        <v>0</v>
      </c>
      <c r="X66">
        <v>783836208</v>
      </c>
      <c r="Y66">
        <v>0.27</v>
      </c>
      <c r="AA66">
        <v>0</v>
      </c>
      <c r="AB66">
        <v>1058.3499999999999</v>
      </c>
      <c r="AC66">
        <v>405.68</v>
      </c>
      <c r="AD66">
        <v>0</v>
      </c>
      <c r="AE66">
        <v>0</v>
      </c>
      <c r="AF66">
        <v>134.65</v>
      </c>
      <c r="AG66">
        <v>13.5</v>
      </c>
      <c r="AH66">
        <v>0</v>
      </c>
      <c r="AI66">
        <v>1</v>
      </c>
      <c r="AJ66">
        <v>7.86</v>
      </c>
      <c r="AK66">
        <v>30.05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6</v>
      </c>
      <c r="AT66">
        <v>0.2</v>
      </c>
      <c r="AU66" t="s">
        <v>205</v>
      </c>
      <c r="AV66">
        <v>0</v>
      </c>
      <c r="AW66">
        <v>2</v>
      </c>
      <c r="AX66">
        <v>48277490</v>
      </c>
      <c r="AY66">
        <v>1</v>
      </c>
      <c r="AZ66">
        <v>0</v>
      </c>
      <c r="BA66">
        <v>62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Y66*Source!I81</f>
        <v>3.2399999999999998E-2</v>
      </c>
      <c r="CY66">
        <f>AB66</f>
        <v>1058.3499999999999</v>
      </c>
      <c r="CZ66">
        <f>AF66</f>
        <v>134.65</v>
      </c>
      <c r="DA66">
        <f>AJ66</f>
        <v>7.86</v>
      </c>
      <c r="DB66">
        <f t="shared" si="14"/>
        <v>36.36</v>
      </c>
      <c r="DC66">
        <f t="shared" si="15"/>
        <v>3.65</v>
      </c>
    </row>
    <row r="67" spans="1:107" x14ac:dyDescent="0.2">
      <c r="A67">
        <f>ROW(Source!A81)</f>
        <v>81</v>
      </c>
      <c r="B67">
        <v>48276314</v>
      </c>
      <c r="C67">
        <v>48277487</v>
      </c>
      <c r="D67">
        <v>29172498</v>
      </c>
      <c r="E67">
        <v>1</v>
      </c>
      <c r="F67">
        <v>1</v>
      </c>
      <c r="G67">
        <v>1</v>
      </c>
      <c r="H67">
        <v>2</v>
      </c>
      <c r="I67" t="s">
        <v>428</v>
      </c>
      <c r="J67" t="s">
        <v>429</v>
      </c>
      <c r="K67" t="s">
        <v>430</v>
      </c>
      <c r="L67">
        <v>1368</v>
      </c>
      <c r="N67">
        <v>1011</v>
      </c>
      <c r="O67" t="s">
        <v>364</v>
      </c>
      <c r="P67" t="s">
        <v>364</v>
      </c>
      <c r="Q67">
        <v>1</v>
      </c>
      <c r="W67">
        <v>0</v>
      </c>
      <c r="X67">
        <v>-426164714</v>
      </c>
      <c r="Y67">
        <v>7.5195000000000007</v>
      </c>
      <c r="AA67">
        <v>0</v>
      </c>
      <c r="AB67">
        <v>10.07</v>
      </c>
      <c r="AC67">
        <v>0</v>
      </c>
      <c r="AD67">
        <v>0</v>
      </c>
      <c r="AE67">
        <v>0</v>
      </c>
      <c r="AF67">
        <v>2.37</v>
      </c>
      <c r="AG67">
        <v>0</v>
      </c>
      <c r="AH67">
        <v>0</v>
      </c>
      <c r="AI67">
        <v>1</v>
      </c>
      <c r="AJ67">
        <v>4.25</v>
      </c>
      <c r="AK67">
        <v>30.05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6</v>
      </c>
      <c r="AT67">
        <v>5.57</v>
      </c>
      <c r="AU67" t="s">
        <v>205</v>
      </c>
      <c r="AV67">
        <v>0</v>
      </c>
      <c r="AW67">
        <v>2</v>
      </c>
      <c r="AX67">
        <v>48277491</v>
      </c>
      <c r="AY67">
        <v>1</v>
      </c>
      <c r="AZ67">
        <v>0</v>
      </c>
      <c r="BA67">
        <v>63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Y67*Source!I81</f>
        <v>0.90234000000000003</v>
      </c>
      <c r="CY67">
        <f>AB67</f>
        <v>10.07</v>
      </c>
      <c r="CZ67">
        <f>AF67</f>
        <v>2.37</v>
      </c>
      <c r="DA67">
        <f>AJ67</f>
        <v>4.25</v>
      </c>
      <c r="DB67">
        <f t="shared" si="14"/>
        <v>17.82</v>
      </c>
      <c r="DC67">
        <f t="shared" si="15"/>
        <v>0</v>
      </c>
    </row>
    <row r="68" spans="1:107" x14ac:dyDescent="0.2">
      <c r="A68">
        <f>ROW(Source!A81)</f>
        <v>81</v>
      </c>
      <c r="B68">
        <v>48276314</v>
      </c>
      <c r="C68">
        <v>48277487</v>
      </c>
      <c r="D68">
        <v>29172516</v>
      </c>
      <c r="E68">
        <v>1</v>
      </c>
      <c r="F68">
        <v>1</v>
      </c>
      <c r="G68">
        <v>1</v>
      </c>
      <c r="H68">
        <v>2</v>
      </c>
      <c r="I68" t="s">
        <v>431</v>
      </c>
      <c r="J68" t="s">
        <v>432</v>
      </c>
      <c r="K68" t="s">
        <v>433</v>
      </c>
      <c r="L68">
        <v>1368</v>
      </c>
      <c r="N68">
        <v>1011</v>
      </c>
      <c r="O68" t="s">
        <v>364</v>
      </c>
      <c r="P68" t="s">
        <v>364</v>
      </c>
      <c r="Q68">
        <v>1</v>
      </c>
      <c r="W68">
        <v>0</v>
      </c>
      <c r="X68">
        <v>1843081982</v>
      </c>
      <c r="Y68">
        <v>7.5195000000000007</v>
      </c>
      <c r="AA68">
        <v>0</v>
      </c>
      <c r="AB68">
        <v>72.239999999999995</v>
      </c>
      <c r="AC68">
        <v>0</v>
      </c>
      <c r="AD68">
        <v>0</v>
      </c>
      <c r="AE68">
        <v>0</v>
      </c>
      <c r="AF68">
        <v>6.9</v>
      </c>
      <c r="AG68">
        <v>0</v>
      </c>
      <c r="AH68">
        <v>0</v>
      </c>
      <c r="AI68">
        <v>1</v>
      </c>
      <c r="AJ68">
        <v>10.47</v>
      </c>
      <c r="AK68">
        <v>30.05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6</v>
      </c>
      <c r="AT68">
        <v>5.57</v>
      </c>
      <c r="AU68" t="s">
        <v>205</v>
      </c>
      <c r="AV68">
        <v>0</v>
      </c>
      <c r="AW68">
        <v>2</v>
      </c>
      <c r="AX68">
        <v>48277492</v>
      </c>
      <c r="AY68">
        <v>1</v>
      </c>
      <c r="AZ68">
        <v>0</v>
      </c>
      <c r="BA68">
        <v>64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Y68*Source!I81</f>
        <v>0.90234000000000003</v>
      </c>
      <c r="CY68">
        <f>AB68</f>
        <v>72.239999999999995</v>
      </c>
      <c r="CZ68">
        <f>AF68</f>
        <v>6.9</v>
      </c>
      <c r="DA68">
        <f>AJ68</f>
        <v>10.47</v>
      </c>
      <c r="DB68">
        <f t="shared" si="14"/>
        <v>51.88</v>
      </c>
      <c r="DC68">
        <f t="shared" si="15"/>
        <v>0</v>
      </c>
    </row>
    <row r="69" spans="1:107" x14ac:dyDescent="0.2">
      <c r="A69">
        <f>ROW(Source!A81)</f>
        <v>81</v>
      </c>
      <c r="B69">
        <v>48276314</v>
      </c>
      <c r="C69">
        <v>48277487</v>
      </c>
      <c r="D69">
        <v>29172565</v>
      </c>
      <c r="E69">
        <v>1</v>
      </c>
      <c r="F69">
        <v>1</v>
      </c>
      <c r="G69">
        <v>1</v>
      </c>
      <c r="H69">
        <v>2</v>
      </c>
      <c r="I69" t="s">
        <v>449</v>
      </c>
      <c r="J69" t="s">
        <v>450</v>
      </c>
      <c r="K69" t="s">
        <v>451</v>
      </c>
      <c r="L69">
        <v>1368</v>
      </c>
      <c r="N69">
        <v>1011</v>
      </c>
      <c r="O69" t="s">
        <v>364</v>
      </c>
      <c r="P69" t="s">
        <v>364</v>
      </c>
      <c r="Q69">
        <v>1</v>
      </c>
      <c r="W69">
        <v>0</v>
      </c>
      <c r="X69">
        <v>-1419159406</v>
      </c>
      <c r="Y69">
        <v>10.017000000000001</v>
      </c>
      <c r="AA69">
        <v>0</v>
      </c>
      <c r="AB69">
        <v>958.94</v>
      </c>
      <c r="AC69">
        <v>405.68</v>
      </c>
      <c r="AD69">
        <v>0</v>
      </c>
      <c r="AE69">
        <v>0</v>
      </c>
      <c r="AF69">
        <v>142.69999999999999</v>
      </c>
      <c r="AG69">
        <v>13.5</v>
      </c>
      <c r="AH69">
        <v>0</v>
      </c>
      <c r="AI69">
        <v>1</v>
      </c>
      <c r="AJ69">
        <v>6.72</v>
      </c>
      <c r="AK69">
        <v>30.05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6</v>
      </c>
      <c r="AT69">
        <v>7.42</v>
      </c>
      <c r="AU69" t="s">
        <v>205</v>
      </c>
      <c r="AV69">
        <v>0</v>
      </c>
      <c r="AW69">
        <v>2</v>
      </c>
      <c r="AX69">
        <v>48277493</v>
      </c>
      <c r="AY69">
        <v>1</v>
      </c>
      <c r="AZ69">
        <v>0</v>
      </c>
      <c r="BA69">
        <v>65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Y69*Source!I81</f>
        <v>1.20204</v>
      </c>
      <c r="CY69">
        <f>AB69</f>
        <v>958.94</v>
      </c>
      <c r="CZ69">
        <f>AF69</f>
        <v>142.69999999999999</v>
      </c>
      <c r="DA69">
        <f>AJ69</f>
        <v>6.72</v>
      </c>
      <c r="DB69">
        <f t="shared" si="14"/>
        <v>1429.42</v>
      </c>
      <c r="DC69">
        <f t="shared" si="15"/>
        <v>135.22999999999999</v>
      </c>
    </row>
    <row r="70" spans="1:107" x14ac:dyDescent="0.2">
      <c r="A70">
        <f>ROW(Source!A81)</f>
        <v>81</v>
      </c>
      <c r="B70">
        <v>48276314</v>
      </c>
      <c r="C70">
        <v>48277487</v>
      </c>
      <c r="D70">
        <v>29174913</v>
      </c>
      <c r="E70">
        <v>1</v>
      </c>
      <c r="F70">
        <v>1</v>
      </c>
      <c r="G70">
        <v>1</v>
      </c>
      <c r="H70">
        <v>2</v>
      </c>
      <c r="I70" t="s">
        <v>396</v>
      </c>
      <c r="J70" t="s">
        <v>397</v>
      </c>
      <c r="K70" t="s">
        <v>398</v>
      </c>
      <c r="L70">
        <v>1368</v>
      </c>
      <c r="N70">
        <v>1011</v>
      </c>
      <c r="O70" t="s">
        <v>364</v>
      </c>
      <c r="P70" t="s">
        <v>364</v>
      </c>
      <c r="Q70">
        <v>1</v>
      </c>
      <c r="W70">
        <v>0</v>
      </c>
      <c r="X70">
        <v>1230759911</v>
      </c>
      <c r="Y70">
        <v>0.27</v>
      </c>
      <c r="AA70">
        <v>0</v>
      </c>
      <c r="AB70">
        <v>887.39</v>
      </c>
      <c r="AC70">
        <v>348.58</v>
      </c>
      <c r="AD70">
        <v>0</v>
      </c>
      <c r="AE70">
        <v>0</v>
      </c>
      <c r="AF70">
        <v>87.17</v>
      </c>
      <c r="AG70">
        <v>11.6</v>
      </c>
      <c r="AH70">
        <v>0</v>
      </c>
      <c r="AI70">
        <v>1</v>
      </c>
      <c r="AJ70">
        <v>10.18</v>
      </c>
      <c r="AK70">
        <v>30.05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6</v>
      </c>
      <c r="AT70">
        <v>0.2</v>
      </c>
      <c r="AU70" t="s">
        <v>205</v>
      </c>
      <c r="AV70">
        <v>0</v>
      </c>
      <c r="AW70">
        <v>2</v>
      </c>
      <c r="AX70">
        <v>48277494</v>
      </c>
      <c r="AY70">
        <v>1</v>
      </c>
      <c r="AZ70">
        <v>0</v>
      </c>
      <c r="BA70">
        <v>66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Y70*Source!I81</f>
        <v>3.2399999999999998E-2</v>
      </c>
      <c r="CY70">
        <f>AB70</f>
        <v>887.39</v>
      </c>
      <c r="CZ70">
        <f>AF70</f>
        <v>87.17</v>
      </c>
      <c r="DA70">
        <f>AJ70</f>
        <v>10.18</v>
      </c>
      <c r="DB70">
        <f t="shared" si="14"/>
        <v>23.53</v>
      </c>
      <c r="DC70">
        <f t="shared" si="15"/>
        <v>3.13</v>
      </c>
    </row>
    <row r="71" spans="1:107" x14ac:dyDescent="0.2">
      <c r="A71">
        <f>ROW(Source!A81)</f>
        <v>81</v>
      </c>
      <c r="B71">
        <v>48276314</v>
      </c>
      <c r="C71">
        <v>48277487</v>
      </c>
      <c r="D71">
        <v>29110793</v>
      </c>
      <c r="E71">
        <v>1</v>
      </c>
      <c r="F71">
        <v>1</v>
      </c>
      <c r="G71">
        <v>1</v>
      </c>
      <c r="H71">
        <v>3</v>
      </c>
      <c r="I71" t="s">
        <v>440</v>
      </c>
      <c r="J71" t="s">
        <v>441</v>
      </c>
      <c r="K71" t="s">
        <v>442</v>
      </c>
      <c r="L71">
        <v>1308</v>
      </c>
      <c r="N71">
        <v>1003</v>
      </c>
      <c r="O71" t="s">
        <v>90</v>
      </c>
      <c r="P71" t="s">
        <v>90</v>
      </c>
      <c r="Q71">
        <v>100</v>
      </c>
      <c r="W71">
        <v>0</v>
      </c>
      <c r="X71">
        <v>611857035</v>
      </c>
      <c r="Y71">
        <v>2.4500000000000001E-2</v>
      </c>
      <c r="AA71">
        <v>565.69000000000005</v>
      </c>
      <c r="AB71">
        <v>0</v>
      </c>
      <c r="AC71">
        <v>0</v>
      </c>
      <c r="AD71">
        <v>0</v>
      </c>
      <c r="AE71">
        <v>120.36</v>
      </c>
      <c r="AF71">
        <v>0</v>
      </c>
      <c r="AG71">
        <v>0</v>
      </c>
      <c r="AH71">
        <v>0</v>
      </c>
      <c r="AI71">
        <v>4.7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6</v>
      </c>
      <c r="AT71">
        <v>2.4500000000000001E-2</v>
      </c>
      <c r="AU71" t="s">
        <v>6</v>
      </c>
      <c r="AV71">
        <v>0</v>
      </c>
      <c r="AW71">
        <v>2</v>
      </c>
      <c r="AX71">
        <v>48277495</v>
      </c>
      <c r="AY71">
        <v>1</v>
      </c>
      <c r="AZ71">
        <v>0</v>
      </c>
      <c r="BA71">
        <v>67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Y71*Source!I81</f>
        <v>2.9399999999999999E-3</v>
      </c>
      <c r="CY71">
        <f>AA71</f>
        <v>565.69000000000005</v>
      </c>
      <c r="CZ71">
        <f>AE71</f>
        <v>120.36</v>
      </c>
      <c r="DA71">
        <f>AI71</f>
        <v>4.7</v>
      </c>
      <c r="DB71">
        <f>ROUND(ROUND(AT71*CZ71,2),2)</f>
        <v>2.95</v>
      </c>
      <c r="DC71">
        <f>ROUND(ROUND(AT71*AG71,2),2)</f>
        <v>0</v>
      </c>
    </row>
    <row r="72" spans="1:107" x14ac:dyDescent="0.2">
      <c r="A72">
        <f>ROW(Source!A81)</f>
        <v>81</v>
      </c>
      <c r="B72">
        <v>48276314</v>
      </c>
      <c r="C72">
        <v>48277487</v>
      </c>
      <c r="D72">
        <v>29122430</v>
      </c>
      <c r="E72">
        <v>1</v>
      </c>
      <c r="F72">
        <v>1</v>
      </c>
      <c r="G72">
        <v>1</v>
      </c>
      <c r="H72">
        <v>3</v>
      </c>
      <c r="I72" t="s">
        <v>443</v>
      </c>
      <c r="J72" t="s">
        <v>444</v>
      </c>
      <c r="K72" t="s">
        <v>445</v>
      </c>
      <c r="L72">
        <v>1348</v>
      </c>
      <c r="N72">
        <v>1009</v>
      </c>
      <c r="O72" t="s">
        <v>215</v>
      </c>
      <c r="P72" t="s">
        <v>215</v>
      </c>
      <c r="Q72">
        <v>1000</v>
      </c>
      <c r="W72">
        <v>0</v>
      </c>
      <c r="X72">
        <v>-2033855571</v>
      </c>
      <c r="Y72">
        <v>2.8800000000000002E-3</v>
      </c>
      <c r="AA72">
        <v>85748.26</v>
      </c>
      <c r="AB72">
        <v>0</v>
      </c>
      <c r="AC72">
        <v>0</v>
      </c>
      <c r="AD72">
        <v>0</v>
      </c>
      <c r="AE72">
        <v>9073.89</v>
      </c>
      <c r="AF72">
        <v>0</v>
      </c>
      <c r="AG72">
        <v>0</v>
      </c>
      <c r="AH72">
        <v>0</v>
      </c>
      <c r="AI72">
        <v>9.4499999999999993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6</v>
      </c>
      <c r="AT72">
        <v>2.8800000000000002E-3</v>
      </c>
      <c r="AU72" t="s">
        <v>6</v>
      </c>
      <c r="AV72">
        <v>0</v>
      </c>
      <c r="AW72">
        <v>2</v>
      </c>
      <c r="AX72">
        <v>48277496</v>
      </c>
      <c r="AY72">
        <v>1</v>
      </c>
      <c r="AZ72">
        <v>0</v>
      </c>
      <c r="BA72">
        <v>68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Y72*Source!I81</f>
        <v>3.456E-4</v>
      </c>
      <c r="CY72">
        <f>AA72</f>
        <v>85748.26</v>
      </c>
      <c r="CZ72">
        <f>AE72</f>
        <v>9073.89</v>
      </c>
      <c r="DA72">
        <f>AI72</f>
        <v>9.4499999999999993</v>
      </c>
      <c r="DB72">
        <f>ROUND(ROUND(AT72*CZ72,2),2)</f>
        <v>26.13</v>
      </c>
      <c r="DC72">
        <f>ROUND(ROUND(AT72*AG72,2),2)</f>
        <v>0</v>
      </c>
    </row>
    <row r="73" spans="1:107" x14ac:dyDescent="0.2">
      <c r="A73">
        <f>ROW(Source!A81)</f>
        <v>81</v>
      </c>
      <c r="B73">
        <v>48276314</v>
      </c>
      <c r="C73">
        <v>48277487</v>
      </c>
      <c r="D73">
        <v>29158011</v>
      </c>
      <c r="E73">
        <v>1</v>
      </c>
      <c r="F73">
        <v>1</v>
      </c>
      <c r="G73">
        <v>1</v>
      </c>
      <c r="H73">
        <v>3</v>
      </c>
      <c r="I73" t="s">
        <v>446</v>
      </c>
      <c r="J73" t="s">
        <v>447</v>
      </c>
      <c r="K73" t="s">
        <v>448</v>
      </c>
      <c r="L73">
        <v>1346</v>
      </c>
      <c r="N73">
        <v>1009</v>
      </c>
      <c r="O73" t="s">
        <v>128</v>
      </c>
      <c r="P73" t="s">
        <v>128</v>
      </c>
      <c r="Q73">
        <v>1</v>
      </c>
      <c r="W73">
        <v>0</v>
      </c>
      <c r="X73">
        <v>-993947972</v>
      </c>
      <c r="Y73">
        <v>0.5</v>
      </c>
      <c r="AA73">
        <v>527.04</v>
      </c>
      <c r="AB73">
        <v>0</v>
      </c>
      <c r="AC73">
        <v>0</v>
      </c>
      <c r="AD73">
        <v>0</v>
      </c>
      <c r="AE73">
        <v>68.27</v>
      </c>
      <c r="AF73">
        <v>0</v>
      </c>
      <c r="AG73">
        <v>0</v>
      </c>
      <c r="AH73">
        <v>0</v>
      </c>
      <c r="AI73">
        <v>7.72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6</v>
      </c>
      <c r="AT73">
        <v>0.5</v>
      </c>
      <c r="AU73" t="s">
        <v>6</v>
      </c>
      <c r="AV73">
        <v>0</v>
      </c>
      <c r="AW73">
        <v>2</v>
      </c>
      <c r="AX73">
        <v>48277497</v>
      </c>
      <c r="AY73">
        <v>1</v>
      </c>
      <c r="AZ73">
        <v>0</v>
      </c>
      <c r="BA73">
        <v>69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Y73*Source!I81</f>
        <v>0.06</v>
      </c>
      <c r="CY73">
        <f>AA73</f>
        <v>527.04</v>
      </c>
      <c r="CZ73">
        <f>AE73</f>
        <v>68.27</v>
      </c>
      <c r="DA73">
        <f>AI73</f>
        <v>7.72</v>
      </c>
      <c r="DB73">
        <f>ROUND(ROUND(AT73*CZ73,2),2)</f>
        <v>34.14</v>
      </c>
      <c r="DC73">
        <f>ROUND(ROUND(AT73*AG73,2),2)</f>
        <v>0</v>
      </c>
    </row>
    <row r="74" spans="1:107" x14ac:dyDescent="0.2">
      <c r="A74">
        <f>ROW(Source!A81)</f>
        <v>81</v>
      </c>
      <c r="B74">
        <v>48276314</v>
      </c>
      <c r="C74">
        <v>48277487</v>
      </c>
      <c r="D74">
        <v>29171808</v>
      </c>
      <c r="E74">
        <v>1</v>
      </c>
      <c r="F74">
        <v>1</v>
      </c>
      <c r="G74">
        <v>1</v>
      </c>
      <c r="H74">
        <v>3</v>
      </c>
      <c r="I74" t="s">
        <v>384</v>
      </c>
      <c r="J74" t="s">
        <v>385</v>
      </c>
      <c r="K74" t="s">
        <v>386</v>
      </c>
      <c r="L74">
        <v>1374</v>
      </c>
      <c r="N74">
        <v>1013</v>
      </c>
      <c r="O74" t="s">
        <v>387</v>
      </c>
      <c r="P74" t="s">
        <v>387</v>
      </c>
      <c r="Q74">
        <v>1</v>
      </c>
      <c r="W74">
        <v>0</v>
      </c>
      <c r="X74">
        <v>-915781824</v>
      </c>
      <c r="Y74">
        <v>4.68</v>
      </c>
      <c r="AA74">
        <v>1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4.68</v>
      </c>
      <c r="AU74" t="s">
        <v>6</v>
      </c>
      <c r="AV74">
        <v>0</v>
      </c>
      <c r="AW74">
        <v>2</v>
      </c>
      <c r="AX74">
        <v>48277498</v>
      </c>
      <c r="AY74">
        <v>1</v>
      </c>
      <c r="AZ74">
        <v>0</v>
      </c>
      <c r="BA74">
        <v>70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Y74*Source!I81</f>
        <v>0.56159999999999999</v>
      </c>
      <c r="CY74">
        <f>AA74</f>
        <v>1</v>
      </c>
      <c r="CZ74">
        <f>AE74</f>
        <v>1</v>
      </c>
      <c r="DA74">
        <f>AI74</f>
        <v>1</v>
      </c>
      <c r="DB74">
        <f>ROUND(ROUND(AT74*CZ74,2),2)</f>
        <v>4.68</v>
      </c>
      <c r="DC74">
        <f>ROUND(ROUND(AT74*AG74,2),2)</f>
        <v>0</v>
      </c>
    </row>
    <row r="75" spans="1:107" x14ac:dyDescent="0.2">
      <c r="A75">
        <f>ROW(Source!A82)</f>
        <v>82</v>
      </c>
      <c r="B75">
        <v>48276314</v>
      </c>
      <c r="C75">
        <v>48279289</v>
      </c>
      <c r="D75">
        <v>29365145</v>
      </c>
      <c r="E75">
        <v>1</v>
      </c>
      <c r="F75">
        <v>1</v>
      </c>
      <c r="G75">
        <v>1</v>
      </c>
      <c r="H75">
        <v>1</v>
      </c>
      <c r="I75" t="s">
        <v>452</v>
      </c>
      <c r="J75" t="s">
        <v>6</v>
      </c>
      <c r="K75" t="s">
        <v>453</v>
      </c>
      <c r="L75">
        <v>1369</v>
      </c>
      <c r="N75">
        <v>1013</v>
      </c>
      <c r="O75" t="s">
        <v>356</v>
      </c>
      <c r="P75" t="s">
        <v>356</v>
      </c>
      <c r="Q75">
        <v>1</v>
      </c>
      <c r="W75">
        <v>0</v>
      </c>
      <c r="X75">
        <v>276027117</v>
      </c>
      <c r="Y75">
        <v>0.2346</v>
      </c>
      <c r="AA75">
        <v>0</v>
      </c>
      <c r="AB75">
        <v>0</v>
      </c>
      <c r="AC75">
        <v>0</v>
      </c>
      <c r="AD75">
        <v>275.86</v>
      </c>
      <c r="AE75">
        <v>0</v>
      </c>
      <c r="AF75">
        <v>0</v>
      </c>
      <c r="AG75">
        <v>0</v>
      </c>
      <c r="AH75">
        <v>275.86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0.17</v>
      </c>
      <c r="AU75" t="s">
        <v>49</v>
      </c>
      <c r="AV75">
        <v>1</v>
      </c>
      <c r="AW75">
        <v>2</v>
      </c>
      <c r="AX75">
        <v>48279290</v>
      </c>
      <c r="AY75">
        <v>1</v>
      </c>
      <c r="AZ75">
        <v>0</v>
      </c>
      <c r="BA75">
        <v>71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Y75*Source!I82</f>
        <v>17.712299999999999</v>
      </c>
      <c r="CY75">
        <f>AD75</f>
        <v>275.86</v>
      </c>
      <c r="CZ75">
        <f>AH75</f>
        <v>275.86</v>
      </c>
      <c r="DA75">
        <f>AL75</f>
        <v>1</v>
      </c>
      <c r="DB75">
        <f>ROUND(((ROUND(AT75*CZ75,2)*1.2)*1.15),2)</f>
        <v>64.72</v>
      </c>
      <c r="DC75">
        <f>ROUND(((ROUND(AT75*AG75,2)*1.2)*1.15),2)</f>
        <v>0</v>
      </c>
    </row>
    <row r="76" spans="1:107" x14ac:dyDescent="0.2">
      <c r="A76">
        <f>ROW(Source!A82)</f>
        <v>82</v>
      </c>
      <c r="B76">
        <v>48276314</v>
      </c>
      <c r="C76">
        <v>48279289</v>
      </c>
      <c r="D76">
        <v>29172657</v>
      </c>
      <c r="E76">
        <v>1</v>
      </c>
      <c r="F76">
        <v>1</v>
      </c>
      <c r="G76">
        <v>1</v>
      </c>
      <c r="H76">
        <v>2</v>
      </c>
      <c r="I76" t="s">
        <v>393</v>
      </c>
      <c r="J76" t="s">
        <v>394</v>
      </c>
      <c r="K76" t="s">
        <v>395</v>
      </c>
      <c r="L76">
        <v>1368</v>
      </c>
      <c r="N76">
        <v>1011</v>
      </c>
      <c r="O76" t="s">
        <v>364</v>
      </c>
      <c r="P76" t="s">
        <v>364</v>
      </c>
      <c r="Q76">
        <v>1</v>
      </c>
      <c r="W76">
        <v>0</v>
      </c>
      <c r="X76">
        <v>1474986261</v>
      </c>
      <c r="Y76">
        <v>1.38E-2</v>
      </c>
      <c r="AA76">
        <v>0</v>
      </c>
      <c r="AB76">
        <v>58.48</v>
      </c>
      <c r="AC76">
        <v>0</v>
      </c>
      <c r="AD76">
        <v>0</v>
      </c>
      <c r="AE76">
        <v>0</v>
      </c>
      <c r="AF76">
        <v>8.1</v>
      </c>
      <c r="AG76">
        <v>0</v>
      </c>
      <c r="AH76">
        <v>0</v>
      </c>
      <c r="AI76">
        <v>1</v>
      </c>
      <c r="AJ76">
        <v>7.22</v>
      </c>
      <c r="AK76">
        <v>30.05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6</v>
      </c>
      <c r="AT76">
        <v>0.01</v>
      </c>
      <c r="AU76" t="s">
        <v>49</v>
      </c>
      <c r="AV76">
        <v>0</v>
      </c>
      <c r="AW76">
        <v>2</v>
      </c>
      <c r="AX76">
        <v>48279291</v>
      </c>
      <c r="AY76">
        <v>1</v>
      </c>
      <c r="AZ76">
        <v>0</v>
      </c>
      <c r="BA76">
        <v>72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Y76*Source!I82</f>
        <v>1.0419</v>
      </c>
      <c r="CY76">
        <f>AB76</f>
        <v>58.48</v>
      </c>
      <c r="CZ76">
        <f>AF76</f>
        <v>8.1</v>
      </c>
      <c r="DA76">
        <f>AJ76</f>
        <v>7.22</v>
      </c>
      <c r="DB76">
        <f>ROUND(((ROUND(AT76*CZ76,2)*1.2)*1.15),2)</f>
        <v>0.11</v>
      </c>
      <c r="DC76">
        <f>ROUND(((ROUND(AT76*AG76,2)*1.2)*1.15),2)</f>
        <v>0</v>
      </c>
    </row>
    <row r="77" spans="1:107" x14ac:dyDescent="0.2">
      <c r="A77">
        <f>ROW(Source!A82)</f>
        <v>82</v>
      </c>
      <c r="B77">
        <v>48276314</v>
      </c>
      <c r="C77">
        <v>48279289</v>
      </c>
      <c r="D77">
        <v>29174500</v>
      </c>
      <c r="E77">
        <v>1</v>
      </c>
      <c r="F77">
        <v>1</v>
      </c>
      <c r="G77">
        <v>1</v>
      </c>
      <c r="H77">
        <v>2</v>
      </c>
      <c r="I77" t="s">
        <v>454</v>
      </c>
      <c r="J77" t="s">
        <v>455</v>
      </c>
      <c r="K77" t="s">
        <v>456</v>
      </c>
      <c r="L77">
        <v>1368</v>
      </c>
      <c r="N77">
        <v>1011</v>
      </c>
      <c r="O77" t="s">
        <v>364</v>
      </c>
      <c r="P77" t="s">
        <v>364</v>
      </c>
      <c r="Q77">
        <v>1</v>
      </c>
      <c r="W77">
        <v>0</v>
      </c>
      <c r="X77">
        <v>-1867053656</v>
      </c>
      <c r="Y77">
        <v>4.1399999999999992E-2</v>
      </c>
      <c r="AA77">
        <v>0</v>
      </c>
      <c r="AB77">
        <v>7.25</v>
      </c>
      <c r="AC77">
        <v>0</v>
      </c>
      <c r="AD77">
        <v>0</v>
      </c>
      <c r="AE77">
        <v>0</v>
      </c>
      <c r="AF77">
        <v>1.95</v>
      </c>
      <c r="AG77">
        <v>0</v>
      </c>
      <c r="AH77">
        <v>0</v>
      </c>
      <c r="AI77">
        <v>1</v>
      </c>
      <c r="AJ77">
        <v>3.72</v>
      </c>
      <c r="AK77">
        <v>30.05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0.03</v>
      </c>
      <c r="AU77" t="s">
        <v>49</v>
      </c>
      <c r="AV77">
        <v>0</v>
      </c>
      <c r="AW77">
        <v>2</v>
      </c>
      <c r="AX77">
        <v>48279292</v>
      </c>
      <c r="AY77">
        <v>1</v>
      </c>
      <c r="AZ77">
        <v>0</v>
      </c>
      <c r="BA77">
        <v>73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Y77*Source!I82</f>
        <v>3.1256999999999993</v>
      </c>
      <c r="CY77">
        <f>AB77</f>
        <v>7.25</v>
      </c>
      <c r="CZ77">
        <f>AF77</f>
        <v>1.95</v>
      </c>
      <c r="DA77">
        <f>AJ77</f>
        <v>3.72</v>
      </c>
      <c r="DB77">
        <f>ROUND(((ROUND(AT77*CZ77,2)*1.2)*1.15),2)</f>
        <v>0.08</v>
      </c>
      <c r="DC77">
        <f>ROUND(((ROUND(AT77*AG77,2)*1.2)*1.15),2)</f>
        <v>0</v>
      </c>
    </row>
    <row r="78" spans="1:107" x14ac:dyDescent="0.2">
      <c r="A78">
        <f>ROW(Source!A82)</f>
        <v>82</v>
      </c>
      <c r="B78">
        <v>48276314</v>
      </c>
      <c r="C78">
        <v>48279289</v>
      </c>
      <c r="D78">
        <v>29113346</v>
      </c>
      <c r="E78">
        <v>1</v>
      </c>
      <c r="F78">
        <v>1</v>
      </c>
      <c r="G78">
        <v>1</v>
      </c>
      <c r="H78">
        <v>3</v>
      </c>
      <c r="I78" t="s">
        <v>213</v>
      </c>
      <c r="J78" t="s">
        <v>216</v>
      </c>
      <c r="K78" t="s">
        <v>214</v>
      </c>
      <c r="L78">
        <v>1348</v>
      </c>
      <c r="N78">
        <v>1009</v>
      </c>
      <c r="O78" t="s">
        <v>215</v>
      </c>
      <c r="P78" t="s">
        <v>215</v>
      </c>
      <c r="Q78">
        <v>1000</v>
      </c>
      <c r="W78">
        <v>0</v>
      </c>
      <c r="X78">
        <v>-1845425206</v>
      </c>
      <c r="Y78">
        <v>1E-3</v>
      </c>
      <c r="AA78">
        <v>33483.03</v>
      </c>
      <c r="AB78">
        <v>0</v>
      </c>
      <c r="AC78">
        <v>0</v>
      </c>
      <c r="AD78">
        <v>0</v>
      </c>
      <c r="AE78">
        <v>5763</v>
      </c>
      <c r="AF78">
        <v>0</v>
      </c>
      <c r="AG78">
        <v>0</v>
      </c>
      <c r="AH78">
        <v>0</v>
      </c>
      <c r="AI78">
        <v>5.81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1E-3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Y78*Source!I82</f>
        <v>7.5499999999999998E-2</v>
      </c>
      <c r="CY78">
        <f t="shared" ref="CY78:CY83" si="16">AA78</f>
        <v>33483.03</v>
      </c>
      <c r="CZ78">
        <f t="shared" ref="CZ78:CZ83" si="17">AE78</f>
        <v>5763</v>
      </c>
      <c r="DA78">
        <f t="shared" ref="DA78:DA83" si="18">AI78</f>
        <v>5.81</v>
      </c>
      <c r="DB78">
        <f t="shared" ref="DB78:DB83" si="19">ROUND(ROUND(AT78*CZ78,2),2)</f>
        <v>5.76</v>
      </c>
      <c r="DC78">
        <f t="shared" ref="DC78:DC83" si="20">ROUND(ROUND(AT78*AG78,2),2)</f>
        <v>0</v>
      </c>
    </row>
    <row r="79" spans="1:107" x14ac:dyDescent="0.2">
      <c r="A79">
        <f>ROW(Source!A82)</f>
        <v>82</v>
      </c>
      <c r="B79">
        <v>48276314</v>
      </c>
      <c r="C79">
        <v>48279289</v>
      </c>
      <c r="D79">
        <v>29114246</v>
      </c>
      <c r="E79">
        <v>1</v>
      </c>
      <c r="F79">
        <v>1</v>
      </c>
      <c r="G79">
        <v>1</v>
      </c>
      <c r="H79">
        <v>3</v>
      </c>
      <c r="I79" t="s">
        <v>457</v>
      </c>
      <c r="J79" t="s">
        <v>458</v>
      </c>
      <c r="K79" t="s">
        <v>459</v>
      </c>
      <c r="L79">
        <v>1346</v>
      </c>
      <c r="N79">
        <v>1009</v>
      </c>
      <c r="O79" t="s">
        <v>128</v>
      </c>
      <c r="P79" t="s">
        <v>128</v>
      </c>
      <c r="Q79">
        <v>1</v>
      </c>
      <c r="W79">
        <v>0</v>
      </c>
      <c r="X79">
        <v>30920770</v>
      </c>
      <c r="Y79">
        <v>0.106</v>
      </c>
      <c r="AA79">
        <v>79.64</v>
      </c>
      <c r="AB79">
        <v>0</v>
      </c>
      <c r="AC79">
        <v>0</v>
      </c>
      <c r="AD79">
        <v>0</v>
      </c>
      <c r="AE79">
        <v>9.0399999999999991</v>
      </c>
      <c r="AF79">
        <v>0</v>
      </c>
      <c r="AG79">
        <v>0</v>
      </c>
      <c r="AH79">
        <v>0</v>
      </c>
      <c r="AI79">
        <v>8.81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0.106</v>
      </c>
      <c r="AU79" t="s">
        <v>6</v>
      </c>
      <c r="AV79">
        <v>0</v>
      </c>
      <c r="AW79">
        <v>2</v>
      </c>
      <c r="AX79">
        <v>48279293</v>
      </c>
      <c r="AY79">
        <v>1</v>
      </c>
      <c r="AZ79">
        <v>0</v>
      </c>
      <c r="BA79">
        <v>74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Y79*Source!I82</f>
        <v>8.0030000000000001</v>
      </c>
      <c r="CY79">
        <f t="shared" si="16"/>
        <v>79.64</v>
      </c>
      <c r="CZ79">
        <f t="shared" si="17"/>
        <v>9.0399999999999991</v>
      </c>
      <c r="DA79">
        <f t="shared" si="18"/>
        <v>8.81</v>
      </c>
      <c r="DB79">
        <f t="shared" si="19"/>
        <v>0.96</v>
      </c>
      <c r="DC79">
        <f t="shared" si="20"/>
        <v>0</v>
      </c>
    </row>
    <row r="80" spans="1:107" x14ac:dyDescent="0.2">
      <c r="A80">
        <f>ROW(Source!A82)</f>
        <v>82</v>
      </c>
      <c r="B80">
        <v>48276314</v>
      </c>
      <c r="C80">
        <v>48279289</v>
      </c>
      <c r="D80">
        <v>29110426</v>
      </c>
      <c r="E80">
        <v>1</v>
      </c>
      <c r="F80">
        <v>1</v>
      </c>
      <c r="G80">
        <v>1</v>
      </c>
      <c r="H80">
        <v>3</v>
      </c>
      <c r="I80" t="s">
        <v>437</v>
      </c>
      <c r="J80" t="s">
        <v>438</v>
      </c>
      <c r="K80" t="s">
        <v>439</v>
      </c>
      <c r="L80">
        <v>1346</v>
      </c>
      <c r="N80">
        <v>1009</v>
      </c>
      <c r="O80" t="s">
        <v>128</v>
      </c>
      <c r="P80" t="s">
        <v>128</v>
      </c>
      <c r="Q80">
        <v>1</v>
      </c>
      <c r="W80">
        <v>0</v>
      </c>
      <c r="X80">
        <v>-1768004575</v>
      </c>
      <c r="Y80">
        <v>0.02</v>
      </c>
      <c r="AA80">
        <v>63.36</v>
      </c>
      <c r="AB80">
        <v>0</v>
      </c>
      <c r="AC80">
        <v>0</v>
      </c>
      <c r="AD80">
        <v>0</v>
      </c>
      <c r="AE80">
        <v>28.67</v>
      </c>
      <c r="AF80">
        <v>0</v>
      </c>
      <c r="AG80">
        <v>0</v>
      </c>
      <c r="AH80">
        <v>0</v>
      </c>
      <c r="AI80">
        <v>2.21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0.02</v>
      </c>
      <c r="AU80" t="s">
        <v>6</v>
      </c>
      <c r="AV80">
        <v>0</v>
      </c>
      <c r="AW80">
        <v>2</v>
      </c>
      <c r="AX80">
        <v>48279294</v>
      </c>
      <c r="AY80">
        <v>1</v>
      </c>
      <c r="AZ80">
        <v>0</v>
      </c>
      <c r="BA80">
        <v>75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Y80*Source!I82</f>
        <v>1.51</v>
      </c>
      <c r="CY80">
        <f t="shared" si="16"/>
        <v>63.36</v>
      </c>
      <c r="CZ80">
        <f t="shared" si="17"/>
        <v>28.67</v>
      </c>
      <c r="DA80">
        <f t="shared" si="18"/>
        <v>2.21</v>
      </c>
      <c r="DB80">
        <f t="shared" si="19"/>
        <v>0.56999999999999995</v>
      </c>
      <c r="DC80">
        <f t="shared" si="20"/>
        <v>0</v>
      </c>
    </row>
    <row r="81" spans="1:107" x14ac:dyDescent="0.2">
      <c r="A81">
        <f>ROW(Source!A82)</f>
        <v>82</v>
      </c>
      <c r="B81">
        <v>48276314</v>
      </c>
      <c r="C81">
        <v>48279289</v>
      </c>
      <c r="D81">
        <v>29114470</v>
      </c>
      <c r="E81">
        <v>1</v>
      </c>
      <c r="F81">
        <v>1</v>
      </c>
      <c r="G81">
        <v>1</v>
      </c>
      <c r="H81">
        <v>3</v>
      </c>
      <c r="I81" t="s">
        <v>460</v>
      </c>
      <c r="J81" t="s">
        <v>461</v>
      </c>
      <c r="K81" t="s">
        <v>462</v>
      </c>
      <c r="L81">
        <v>1355</v>
      </c>
      <c r="N81">
        <v>1010</v>
      </c>
      <c r="O81" t="s">
        <v>225</v>
      </c>
      <c r="P81" t="s">
        <v>225</v>
      </c>
      <c r="Q81">
        <v>100</v>
      </c>
      <c r="W81">
        <v>0</v>
      </c>
      <c r="X81">
        <v>1627582661</v>
      </c>
      <c r="Y81">
        <v>0.01</v>
      </c>
      <c r="AA81">
        <v>54.33</v>
      </c>
      <c r="AB81">
        <v>0</v>
      </c>
      <c r="AC81">
        <v>0</v>
      </c>
      <c r="AD81">
        <v>0</v>
      </c>
      <c r="AE81">
        <v>86.24</v>
      </c>
      <c r="AF81">
        <v>0</v>
      </c>
      <c r="AG81">
        <v>0</v>
      </c>
      <c r="AH81">
        <v>0</v>
      </c>
      <c r="AI81">
        <v>0.63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6</v>
      </c>
      <c r="AT81">
        <v>0.01</v>
      </c>
      <c r="AU81" t="s">
        <v>6</v>
      </c>
      <c r="AV81">
        <v>0</v>
      </c>
      <c r="AW81">
        <v>2</v>
      </c>
      <c r="AX81">
        <v>48279295</v>
      </c>
      <c r="AY81">
        <v>1</v>
      </c>
      <c r="AZ81">
        <v>0</v>
      </c>
      <c r="BA81">
        <v>76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Y81*Source!I82</f>
        <v>0.755</v>
      </c>
      <c r="CY81">
        <f t="shared" si="16"/>
        <v>54.33</v>
      </c>
      <c r="CZ81">
        <f t="shared" si="17"/>
        <v>86.24</v>
      </c>
      <c r="DA81">
        <f t="shared" si="18"/>
        <v>0.63</v>
      </c>
      <c r="DB81">
        <f t="shared" si="19"/>
        <v>0.86</v>
      </c>
      <c r="DC81">
        <f t="shared" si="20"/>
        <v>0</v>
      </c>
    </row>
    <row r="82" spans="1:107" x14ac:dyDescent="0.2">
      <c r="A82">
        <f>ROW(Source!A82)</f>
        <v>82</v>
      </c>
      <c r="B82">
        <v>48276314</v>
      </c>
      <c r="C82">
        <v>48279289</v>
      </c>
      <c r="D82">
        <v>29165774</v>
      </c>
      <c r="E82">
        <v>1</v>
      </c>
      <c r="F82">
        <v>1</v>
      </c>
      <c r="G82">
        <v>1</v>
      </c>
      <c r="H82">
        <v>3</v>
      </c>
      <c r="I82" t="s">
        <v>95</v>
      </c>
      <c r="J82" t="s">
        <v>98</v>
      </c>
      <c r="K82" t="s">
        <v>96</v>
      </c>
      <c r="L82">
        <v>1358</v>
      </c>
      <c r="N82">
        <v>1010</v>
      </c>
      <c r="O82" t="s">
        <v>97</v>
      </c>
      <c r="P82" t="s">
        <v>97</v>
      </c>
      <c r="Q82">
        <v>10</v>
      </c>
      <c r="W82">
        <v>0</v>
      </c>
      <c r="X82">
        <v>-1035860104</v>
      </c>
      <c r="Y82">
        <v>0.1</v>
      </c>
      <c r="AA82">
        <v>993.87</v>
      </c>
      <c r="AB82">
        <v>0</v>
      </c>
      <c r="AC82">
        <v>0</v>
      </c>
      <c r="AD82">
        <v>0</v>
      </c>
      <c r="AE82">
        <v>40.9</v>
      </c>
      <c r="AF82">
        <v>0</v>
      </c>
      <c r="AG82">
        <v>0</v>
      </c>
      <c r="AH82">
        <v>0</v>
      </c>
      <c r="AI82">
        <v>24.3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6</v>
      </c>
      <c r="AT82">
        <v>0.1</v>
      </c>
      <c r="AU82" t="s">
        <v>6</v>
      </c>
      <c r="AV82">
        <v>0</v>
      </c>
      <c r="AW82">
        <v>2</v>
      </c>
      <c r="AX82">
        <v>48279296</v>
      </c>
      <c r="AY82">
        <v>1</v>
      </c>
      <c r="AZ82">
        <v>0</v>
      </c>
      <c r="BA82">
        <v>77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Y82*Source!I82</f>
        <v>7.5500000000000007</v>
      </c>
      <c r="CY82">
        <f t="shared" si="16"/>
        <v>993.87</v>
      </c>
      <c r="CZ82">
        <f t="shared" si="17"/>
        <v>40.9</v>
      </c>
      <c r="DA82">
        <f t="shared" si="18"/>
        <v>24.3</v>
      </c>
      <c r="DB82">
        <f t="shared" si="19"/>
        <v>4.09</v>
      </c>
      <c r="DC82">
        <f t="shared" si="20"/>
        <v>0</v>
      </c>
    </row>
    <row r="83" spans="1:107" x14ac:dyDescent="0.2">
      <c r="A83">
        <f>ROW(Source!A82)</f>
        <v>82</v>
      </c>
      <c r="B83">
        <v>48276314</v>
      </c>
      <c r="C83">
        <v>48279289</v>
      </c>
      <c r="D83">
        <v>29171808</v>
      </c>
      <c r="E83">
        <v>1</v>
      </c>
      <c r="F83">
        <v>1</v>
      </c>
      <c r="G83">
        <v>1</v>
      </c>
      <c r="H83">
        <v>3</v>
      </c>
      <c r="I83" t="s">
        <v>384</v>
      </c>
      <c r="J83" t="s">
        <v>385</v>
      </c>
      <c r="K83" t="s">
        <v>386</v>
      </c>
      <c r="L83">
        <v>1374</v>
      </c>
      <c r="N83">
        <v>1013</v>
      </c>
      <c r="O83" t="s">
        <v>387</v>
      </c>
      <c r="P83" t="s">
        <v>387</v>
      </c>
      <c r="Q83">
        <v>1</v>
      </c>
      <c r="W83">
        <v>0</v>
      </c>
      <c r="X83">
        <v>-915781824</v>
      </c>
      <c r="Y83">
        <v>0.03</v>
      </c>
      <c r="AA83">
        <v>1</v>
      </c>
      <c r="AB83">
        <v>0</v>
      </c>
      <c r="AC83">
        <v>0</v>
      </c>
      <c r="AD83">
        <v>0</v>
      </c>
      <c r="AE83">
        <v>1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6</v>
      </c>
      <c r="AT83">
        <v>0.03</v>
      </c>
      <c r="AU83" t="s">
        <v>6</v>
      </c>
      <c r="AV83">
        <v>0</v>
      </c>
      <c r="AW83">
        <v>2</v>
      </c>
      <c r="AX83">
        <v>48279297</v>
      </c>
      <c r="AY83">
        <v>1</v>
      </c>
      <c r="AZ83">
        <v>0</v>
      </c>
      <c r="BA83">
        <v>78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Y83*Source!I82</f>
        <v>2.2650000000000001</v>
      </c>
      <c r="CY83">
        <f t="shared" si="16"/>
        <v>1</v>
      </c>
      <c r="CZ83">
        <f t="shared" si="17"/>
        <v>1</v>
      </c>
      <c r="DA83">
        <f t="shared" si="18"/>
        <v>1</v>
      </c>
      <c r="DB83">
        <f t="shared" si="19"/>
        <v>0.03</v>
      </c>
      <c r="DC83">
        <f t="shared" si="20"/>
        <v>0</v>
      </c>
    </row>
    <row r="84" spans="1:107" x14ac:dyDescent="0.2">
      <c r="A84">
        <f>ROW(Source!A84)</f>
        <v>84</v>
      </c>
      <c r="B84">
        <v>48276314</v>
      </c>
      <c r="C84">
        <v>48277519</v>
      </c>
      <c r="D84">
        <v>29362762</v>
      </c>
      <c r="E84">
        <v>1</v>
      </c>
      <c r="F84">
        <v>1</v>
      </c>
      <c r="G84">
        <v>1</v>
      </c>
      <c r="H84">
        <v>1</v>
      </c>
      <c r="I84" t="s">
        <v>425</v>
      </c>
      <c r="J84" t="s">
        <v>6</v>
      </c>
      <c r="K84" t="s">
        <v>426</v>
      </c>
      <c r="L84">
        <v>1369</v>
      </c>
      <c r="N84">
        <v>1013</v>
      </c>
      <c r="O84" t="s">
        <v>356</v>
      </c>
      <c r="P84" t="s">
        <v>356</v>
      </c>
      <c r="Q84">
        <v>1</v>
      </c>
      <c r="W84">
        <v>0</v>
      </c>
      <c r="X84">
        <v>604758886</v>
      </c>
      <c r="Y84">
        <v>8.2215000000000007</v>
      </c>
      <c r="AA84">
        <v>0</v>
      </c>
      <c r="AB84">
        <v>0</v>
      </c>
      <c r="AC84">
        <v>0</v>
      </c>
      <c r="AD84">
        <v>289.08</v>
      </c>
      <c r="AE84">
        <v>0</v>
      </c>
      <c r="AF84">
        <v>0</v>
      </c>
      <c r="AG84">
        <v>0</v>
      </c>
      <c r="AH84">
        <v>289.08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6</v>
      </c>
      <c r="AT84">
        <v>6.09</v>
      </c>
      <c r="AU84" t="s">
        <v>205</v>
      </c>
      <c r="AV84">
        <v>1</v>
      </c>
      <c r="AW84">
        <v>2</v>
      </c>
      <c r="AX84">
        <v>48277562</v>
      </c>
      <c r="AY84">
        <v>1</v>
      </c>
      <c r="AZ84">
        <v>0</v>
      </c>
      <c r="BA84">
        <v>79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Y84*Source!I84</f>
        <v>16.443000000000001</v>
      </c>
      <c r="CY84">
        <f>AD84</f>
        <v>289.08</v>
      </c>
      <c r="CZ84">
        <f>AH84</f>
        <v>289.08</v>
      </c>
      <c r="DA84">
        <f>AL84</f>
        <v>1</v>
      </c>
      <c r="DB84">
        <f>ROUND((ROUND(AT84*CZ84,2)*1.35),2)</f>
        <v>2376.6799999999998</v>
      </c>
      <c r="DC84">
        <f>ROUND((ROUND(AT84*AG84,2)*1.35),2)</f>
        <v>0</v>
      </c>
    </row>
    <row r="85" spans="1:107" x14ac:dyDescent="0.2">
      <c r="A85">
        <f>ROW(Source!A84)</f>
        <v>84</v>
      </c>
      <c r="B85">
        <v>48276314</v>
      </c>
      <c r="C85">
        <v>48277519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40</v>
      </c>
      <c r="J85" t="s">
        <v>6</v>
      </c>
      <c r="K85" t="s">
        <v>359</v>
      </c>
      <c r="L85">
        <v>608254</v>
      </c>
      <c r="N85">
        <v>1013</v>
      </c>
      <c r="O85" t="s">
        <v>360</v>
      </c>
      <c r="P85" t="s">
        <v>360</v>
      </c>
      <c r="Q85">
        <v>1</v>
      </c>
      <c r="W85">
        <v>0</v>
      </c>
      <c r="X85">
        <v>-185737400</v>
      </c>
      <c r="Y85">
        <v>6.6555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6</v>
      </c>
      <c r="AT85">
        <v>4.93</v>
      </c>
      <c r="AU85" t="s">
        <v>205</v>
      </c>
      <c r="AV85">
        <v>2</v>
      </c>
      <c r="AW85">
        <v>2</v>
      </c>
      <c r="AX85">
        <v>48277563</v>
      </c>
      <c r="AY85">
        <v>1</v>
      </c>
      <c r="AZ85">
        <v>0</v>
      </c>
      <c r="BA85">
        <v>80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Y85*Source!I84</f>
        <v>13.311</v>
      </c>
      <c r="CY85">
        <f>AD85</f>
        <v>0</v>
      </c>
      <c r="CZ85">
        <f>AH85</f>
        <v>0</v>
      </c>
      <c r="DA85">
        <f>AL85</f>
        <v>1</v>
      </c>
      <c r="DB85">
        <f>ROUND((ROUND(AT85*CZ85,2)*1.35),2)</f>
        <v>0</v>
      </c>
      <c r="DC85">
        <f>ROUND((ROUND(AT85*AG85,2)*1.35),2)</f>
        <v>0</v>
      </c>
    </row>
    <row r="86" spans="1:107" x14ac:dyDescent="0.2">
      <c r="A86">
        <f>ROW(Source!A84)</f>
        <v>84</v>
      </c>
      <c r="B86">
        <v>48276314</v>
      </c>
      <c r="C86">
        <v>48277519</v>
      </c>
      <c r="D86">
        <v>29172362</v>
      </c>
      <c r="E86">
        <v>1</v>
      </c>
      <c r="F86">
        <v>1</v>
      </c>
      <c r="G86">
        <v>1</v>
      </c>
      <c r="H86">
        <v>2</v>
      </c>
      <c r="I86" t="s">
        <v>390</v>
      </c>
      <c r="J86" t="s">
        <v>391</v>
      </c>
      <c r="K86" t="s">
        <v>392</v>
      </c>
      <c r="L86">
        <v>1368</v>
      </c>
      <c r="N86">
        <v>1011</v>
      </c>
      <c r="O86" t="s">
        <v>364</v>
      </c>
      <c r="P86" t="s">
        <v>364</v>
      </c>
      <c r="Q86">
        <v>1</v>
      </c>
      <c r="W86">
        <v>0</v>
      </c>
      <c r="X86">
        <v>783836208</v>
      </c>
      <c r="Y86">
        <v>1.3500000000000002E-2</v>
      </c>
      <c r="AA86">
        <v>0</v>
      </c>
      <c r="AB86">
        <v>1058.3499999999999</v>
      </c>
      <c r="AC86">
        <v>405.68</v>
      </c>
      <c r="AD86">
        <v>0</v>
      </c>
      <c r="AE86">
        <v>0</v>
      </c>
      <c r="AF86">
        <v>134.65</v>
      </c>
      <c r="AG86">
        <v>13.5</v>
      </c>
      <c r="AH86">
        <v>0</v>
      </c>
      <c r="AI86">
        <v>1</v>
      </c>
      <c r="AJ86">
        <v>7.86</v>
      </c>
      <c r="AK86">
        <v>30.05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6</v>
      </c>
      <c r="AT86">
        <v>0.01</v>
      </c>
      <c r="AU86" t="s">
        <v>205</v>
      </c>
      <c r="AV86">
        <v>0</v>
      </c>
      <c r="AW86">
        <v>2</v>
      </c>
      <c r="AX86">
        <v>48277564</v>
      </c>
      <c r="AY86">
        <v>1</v>
      </c>
      <c r="AZ86">
        <v>0</v>
      </c>
      <c r="BA86">
        <v>81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Y86*Source!I84</f>
        <v>2.7000000000000003E-2</v>
      </c>
      <c r="CY86">
        <f>AB86</f>
        <v>1058.3499999999999</v>
      </c>
      <c r="CZ86">
        <f>AF86</f>
        <v>134.65</v>
      </c>
      <c r="DA86">
        <f>AJ86</f>
        <v>7.86</v>
      </c>
      <c r="DB86">
        <f>ROUND((ROUND(AT86*CZ86,2)*1.35),2)</f>
        <v>1.82</v>
      </c>
      <c r="DC86">
        <f>ROUND((ROUND(AT86*AG86,2)*1.35),2)</f>
        <v>0.19</v>
      </c>
    </row>
    <row r="87" spans="1:107" x14ac:dyDescent="0.2">
      <c r="A87">
        <f>ROW(Source!A84)</f>
        <v>84</v>
      </c>
      <c r="B87">
        <v>48276314</v>
      </c>
      <c r="C87">
        <v>48277519</v>
      </c>
      <c r="D87">
        <v>29172565</v>
      </c>
      <c r="E87">
        <v>1</v>
      </c>
      <c r="F87">
        <v>1</v>
      </c>
      <c r="G87">
        <v>1</v>
      </c>
      <c r="H87">
        <v>2</v>
      </c>
      <c r="I87" t="s">
        <v>449</v>
      </c>
      <c r="J87" t="s">
        <v>450</v>
      </c>
      <c r="K87" t="s">
        <v>451</v>
      </c>
      <c r="L87">
        <v>1368</v>
      </c>
      <c r="N87">
        <v>1011</v>
      </c>
      <c r="O87" t="s">
        <v>364</v>
      </c>
      <c r="P87" t="s">
        <v>364</v>
      </c>
      <c r="Q87">
        <v>1</v>
      </c>
      <c r="W87">
        <v>0</v>
      </c>
      <c r="X87">
        <v>-1419159406</v>
      </c>
      <c r="Y87">
        <v>6.6420000000000003</v>
      </c>
      <c r="AA87">
        <v>0</v>
      </c>
      <c r="AB87">
        <v>958.94</v>
      </c>
      <c r="AC87">
        <v>405.68</v>
      </c>
      <c r="AD87">
        <v>0</v>
      </c>
      <c r="AE87">
        <v>0</v>
      </c>
      <c r="AF87">
        <v>142.69999999999999</v>
      </c>
      <c r="AG87">
        <v>13.5</v>
      </c>
      <c r="AH87">
        <v>0</v>
      </c>
      <c r="AI87">
        <v>1</v>
      </c>
      <c r="AJ87">
        <v>6.72</v>
      </c>
      <c r="AK87">
        <v>30.05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6</v>
      </c>
      <c r="AT87">
        <v>4.92</v>
      </c>
      <c r="AU87" t="s">
        <v>205</v>
      </c>
      <c r="AV87">
        <v>0</v>
      </c>
      <c r="AW87">
        <v>2</v>
      </c>
      <c r="AX87">
        <v>48277565</v>
      </c>
      <c r="AY87">
        <v>1</v>
      </c>
      <c r="AZ87">
        <v>0</v>
      </c>
      <c r="BA87">
        <v>82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Y87*Source!I84</f>
        <v>13.284000000000001</v>
      </c>
      <c r="CY87">
        <f>AB87</f>
        <v>958.94</v>
      </c>
      <c r="CZ87">
        <f>AF87</f>
        <v>142.69999999999999</v>
      </c>
      <c r="DA87">
        <f>AJ87</f>
        <v>6.72</v>
      </c>
      <c r="DB87">
        <f>ROUND((ROUND(AT87*CZ87,2)*1.35),2)</f>
        <v>947.81</v>
      </c>
      <c r="DC87">
        <f>ROUND((ROUND(AT87*AG87,2)*1.35),2)</f>
        <v>89.67</v>
      </c>
    </row>
    <row r="88" spans="1:107" x14ac:dyDescent="0.2">
      <c r="A88">
        <f>ROW(Source!A84)</f>
        <v>84</v>
      </c>
      <c r="B88">
        <v>48276314</v>
      </c>
      <c r="C88">
        <v>48277519</v>
      </c>
      <c r="D88">
        <v>29174913</v>
      </c>
      <c r="E88">
        <v>1</v>
      </c>
      <c r="F88">
        <v>1</v>
      </c>
      <c r="G88">
        <v>1</v>
      </c>
      <c r="H88">
        <v>2</v>
      </c>
      <c r="I88" t="s">
        <v>396</v>
      </c>
      <c r="J88" t="s">
        <v>397</v>
      </c>
      <c r="K88" t="s">
        <v>398</v>
      </c>
      <c r="L88">
        <v>1368</v>
      </c>
      <c r="N88">
        <v>1011</v>
      </c>
      <c r="O88" t="s">
        <v>364</v>
      </c>
      <c r="P88" t="s">
        <v>364</v>
      </c>
      <c r="Q88">
        <v>1</v>
      </c>
      <c r="W88">
        <v>0</v>
      </c>
      <c r="X88">
        <v>1230759911</v>
      </c>
      <c r="Y88">
        <v>1.3500000000000002E-2</v>
      </c>
      <c r="AA88">
        <v>0</v>
      </c>
      <c r="AB88">
        <v>887.39</v>
      </c>
      <c r="AC88">
        <v>348.58</v>
      </c>
      <c r="AD88">
        <v>0</v>
      </c>
      <c r="AE88">
        <v>0</v>
      </c>
      <c r="AF88">
        <v>87.17</v>
      </c>
      <c r="AG88">
        <v>11.6</v>
      </c>
      <c r="AH88">
        <v>0</v>
      </c>
      <c r="AI88">
        <v>1</v>
      </c>
      <c r="AJ88">
        <v>10.18</v>
      </c>
      <c r="AK88">
        <v>30.05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6</v>
      </c>
      <c r="AT88">
        <v>0.01</v>
      </c>
      <c r="AU88" t="s">
        <v>205</v>
      </c>
      <c r="AV88">
        <v>0</v>
      </c>
      <c r="AW88">
        <v>2</v>
      </c>
      <c r="AX88">
        <v>48277566</v>
      </c>
      <c r="AY88">
        <v>1</v>
      </c>
      <c r="AZ88">
        <v>0</v>
      </c>
      <c r="BA88">
        <v>83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Y88*Source!I84</f>
        <v>2.7000000000000003E-2</v>
      </c>
      <c r="CY88">
        <f>AB88</f>
        <v>887.39</v>
      </c>
      <c r="CZ88">
        <f>AF88</f>
        <v>87.17</v>
      </c>
      <c r="DA88">
        <f>AJ88</f>
        <v>10.18</v>
      </c>
      <c r="DB88">
        <f>ROUND((ROUND(AT88*CZ88,2)*1.35),2)</f>
        <v>1.17</v>
      </c>
      <c r="DC88">
        <f>ROUND((ROUND(AT88*AG88,2)*1.35),2)</f>
        <v>0.16</v>
      </c>
    </row>
    <row r="89" spans="1:107" x14ac:dyDescent="0.2">
      <c r="A89">
        <f>ROW(Source!A84)</f>
        <v>84</v>
      </c>
      <c r="B89">
        <v>48276314</v>
      </c>
      <c r="C89">
        <v>48277519</v>
      </c>
      <c r="D89">
        <v>29107402</v>
      </c>
      <c r="E89">
        <v>1</v>
      </c>
      <c r="F89">
        <v>1</v>
      </c>
      <c r="G89">
        <v>1</v>
      </c>
      <c r="H89">
        <v>3</v>
      </c>
      <c r="I89" t="s">
        <v>463</v>
      </c>
      <c r="J89" t="s">
        <v>464</v>
      </c>
      <c r="K89" t="s">
        <v>465</v>
      </c>
      <c r="L89">
        <v>1348</v>
      </c>
      <c r="N89">
        <v>1009</v>
      </c>
      <c r="O89" t="s">
        <v>215</v>
      </c>
      <c r="P89" t="s">
        <v>215</v>
      </c>
      <c r="Q89">
        <v>1000</v>
      </c>
      <c r="W89">
        <v>0</v>
      </c>
      <c r="X89">
        <v>-859150690</v>
      </c>
      <c r="Y89">
        <v>4.0000000000000002E-4</v>
      </c>
      <c r="AA89">
        <v>72083.7</v>
      </c>
      <c r="AB89">
        <v>0</v>
      </c>
      <c r="AC89">
        <v>0</v>
      </c>
      <c r="AD89">
        <v>0</v>
      </c>
      <c r="AE89">
        <v>4488.3999999999996</v>
      </c>
      <c r="AF89">
        <v>0</v>
      </c>
      <c r="AG89">
        <v>0</v>
      </c>
      <c r="AH89">
        <v>0</v>
      </c>
      <c r="AI89">
        <v>16.059999999999999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6</v>
      </c>
      <c r="AT89">
        <v>4.0000000000000002E-4</v>
      </c>
      <c r="AU89" t="s">
        <v>6</v>
      </c>
      <c r="AV89">
        <v>0</v>
      </c>
      <c r="AW89">
        <v>2</v>
      </c>
      <c r="AX89">
        <v>48277567</v>
      </c>
      <c r="AY89">
        <v>1</v>
      </c>
      <c r="AZ89">
        <v>0</v>
      </c>
      <c r="BA89">
        <v>84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Y89*Source!I84</f>
        <v>8.0000000000000004E-4</v>
      </c>
      <c r="CY89">
        <f>AA89</f>
        <v>72083.7</v>
      </c>
      <c r="CZ89">
        <f>AE89</f>
        <v>4488.3999999999996</v>
      </c>
      <c r="DA89">
        <f>AI89</f>
        <v>16.059999999999999</v>
      </c>
      <c r="DB89">
        <f>ROUND(ROUND(AT89*CZ89,2),2)</f>
        <v>1.8</v>
      </c>
      <c r="DC89">
        <f>ROUND(ROUND(AT89*AG89,2),2)</f>
        <v>0</v>
      </c>
    </row>
    <row r="90" spans="1:107" x14ac:dyDescent="0.2">
      <c r="A90">
        <f>ROW(Source!A84)</f>
        <v>84</v>
      </c>
      <c r="B90">
        <v>48276314</v>
      </c>
      <c r="C90">
        <v>48277519</v>
      </c>
      <c r="D90">
        <v>29110793</v>
      </c>
      <c r="E90">
        <v>1</v>
      </c>
      <c r="F90">
        <v>1</v>
      </c>
      <c r="G90">
        <v>1</v>
      </c>
      <c r="H90">
        <v>3</v>
      </c>
      <c r="I90" t="s">
        <v>440</v>
      </c>
      <c r="J90" t="s">
        <v>441</v>
      </c>
      <c r="K90" t="s">
        <v>442</v>
      </c>
      <c r="L90">
        <v>1308</v>
      </c>
      <c r="N90">
        <v>1003</v>
      </c>
      <c r="O90" t="s">
        <v>90</v>
      </c>
      <c r="P90" t="s">
        <v>90</v>
      </c>
      <c r="Q90">
        <v>100</v>
      </c>
      <c r="W90">
        <v>0</v>
      </c>
      <c r="X90">
        <v>611857035</v>
      </c>
      <c r="Y90">
        <v>2.3999999999999998E-3</v>
      </c>
      <c r="AA90">
        <v>565.69000000000005</v>
      </c>
      <c r="AB90">
        <v>0</v>
      </c>
      <c r="AC90">
        <v>0</v>
      </c>
      <c r="AD90">
        <v>0</v>
      </c>
      <c r="AE90">
        <v>120.36</v>
      </c>
      <c r="AF90">
        <v>0</v>
      </c>
      <c r="AG90">
        <v>0</v>
      </c>
      <c r="AH90">
        <v>0</v>
      </c>
      <c r="AI90">
        <v>4.7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6</v>
      </c>
      <c r="AT90">
        <v>2.3999999999999998E-3</v>
      </c>
      <c r="AU90" t="s">
        <v>6</v>
      </c>
      <c r="AV90">
        <v>0</v>
      </c>
      <c r="AW90">
        <v>2</v>
      </c>
      <c r="AX90">
        <v>48277568</v>
      </c>
      <c r="AY90">
        <v>1</v>
      </c>
      <c r="AZ90">
        <v>0</v>
      </c>
      <c r="BA90">
        <v>85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Y90*Source!I84</f>
        <v>4.7999999999999996E-3</v>
      </c>
      <c r="CY90">
        <f>AA90</f>
        <v>565.69000000000005</v>
      </c>
      <c r="CZ90">
        <f>AE90</f>
        <v>120.36</v>
      </c>
      <c r="DA90">
        <f>AI90</f>
        <v>4.7</v>
      </c>
      <c r="DB90">
        <f>ROUND(ROUND(AT90*CZ90,2),2)</f>
        <v>0.28999999999999998</v>
      </c>
      <c r="DC90">
        <f>ROUND(ROUND(AT90*AG90,2),2)</f>
        <v>0</v>
      </c>
    </row>
    <row r="91" spans="1:107" x14ac:dyDescent="0.2">
      <c r="A91">
        <f>ROW(Source!A84)</f>
        <v>84</v>
      </c>
      <c r="B91">
        <v>48276314</v>
      </c>
      <c r="C91">
        <v>48277519</v>
      </c>
      <c r="D91">
        <v>29171692</v>
      </c>
      <c r="E91">
        <v>1</v>
      </c>
      <c r="F91">
        <v>1</v>
      </c>
      <c r="G91">
        <v>1</v>
      </c>
      <c r="H91">
        <v>3</v>
      </c>
      <c r="I91" t="s">
        <v>466</v>
      </c>
      <c r="J91" t="s">
        <v>467</v>
      </c>
      <c r="K91" t="s">
        <v>468</v>
      </c>
      <c r="L91">
        <v>1348</v>
      </c>
      <c r="N91">
        <v>1009</v>
      </c>
      <c r="O91" t="s">
        <v>215</v>
      </c>
      <c r="P91" t="s">
        <v>215</v>
      </c>
      <c r="Q91">
        <v>1000</v>
      </c>
      <c r="W91">
        <v>0</v>
      </c>
      <c r="X91">
        <v>1704105755</v>
      </c>
      <c r="Y91">
        <v>1.0000000000000001E-5</v>
      </c>
      <c r="AA91">
        <v>47997.5</v>
      </c>
      <c r="AB91">
        <v>0</v>
      </c>
      <c r="AC91">
        <v>0</v>
      </c>
      <c r="AD91">
        <v>0</v>
      </c>
      <c r="AE91">
        <v>7679.6</v>
      </c>
      <c r="AF91">
        <v>0</v>
      </c>
      <c r="AG91">
        <v>0</v>
      </c>
      <c r="AH91">
        <v>0</v>
      </c>
      <c r="AI91">
        <v>6.25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6</v>
      </c>
      <c r="AT91">
        <v>1.0000000000000001E-5</v>
      </c>
      <c r="AU91" t="s">
        <v>6</v>
      </c>
      <c r="AV91">
        <v>0</v>
      </c>
      <c r="AW91">
        <v>2</v>
      </c>
      <c r="AX91">
        <v>48277569</v>
      </c>
      <c r="AY91">
        <v>1</v>
      </c>
      <c r="AZ91">
        <v>0</v>
      </c>
      <c r="BA91">
        <v>86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Y91*Source!I84</f>
        <v>2.0000000000000002E-5</v>
      </c>
      <c r="CY91">
        <f>AA91</f>
        <v>47997.5</v>
      </c>
      <c r="CZ91">
        <f>AE91</f>
        <v>7679.6</v>
      </c>
      <c r="DA91">
        <f>AI91</f>
        <v>6.25</v>
      </c>
      <c r="DB91">
        <f>ROUND(ROUND(AT91*CZ91,2),2)</f>
        <v>0.08</v>
      </c>
      <c r="DC91">
        <f>ROUND(ROUND(AT91*AG91,2),2)</f>
        <v>0</v>
      </c>
    </row>
    <row r="92" spans="1:107" x14ac:dyDescent="0.2">
      <c r="A92">
        <f>ROW(Source!A84)</f>
        <v>84</v>
      </c>
      <c r="B92">
        <v>48276314</v>
      </c>
      <c r="C92">
        <v>48277519</v>
      </c>
      <c r="D92">
        <v>29171808</v>
      </c>
      <c r="E92">
        <v>1</v>
      </c>
      <c r="F92">
        <v>1</v>
      </c>
      <c r="G92">
        <v>1</v>
      </c>
      <c r="H92">
        <v>3</v>
      </c>
      <c r="I92" t="s">
        <v>384</v>
      </c>
      <c r="J92" t="s">
        <v>385</v>
      </c>
      <c r="K92" t="s">
        <v>386</v>
      </c>
      <c r="L92">
        <v>1374</v>
      </c>
      <c r="N92">
        <v>1013</v>
      </c>
      <c r="O92" t="s">
        <v>387</v>
      </c>
      <c r="P92" t="s">
        <v>387</v>
      </c>
      <c r="Q92">
        <v>1</v>
      </c>
      <c r="W92">
        <v>0</v>
      </c>
      <c r="X92">
        <v>-915781824</v>
      </c>
      <c r="Y92">
        <v>1.17</v>
      </c>
      <c r="AA92">
        <v>1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6</v>
      </c>
      <c r="AT92">
        <v>1.17</v>
      </c>
      <c r="AU92" t="s">
        <v>6</v>
      </c>
      <c r="AV92">
        <v>0</v>
      </c>
      <c r="AW92">
        <v>2</v>
      </c>
      <c r="AX92">
        <v>48277570</v>
      </c>
      <c r="AY92">
        <v>1</v>
      </c>
      <c r="AZ92">
        <v>0</v>
      </c>
      <c r="BA92">
        <v>87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Y92*Source!I84</f>
        <v>2.34</v>
      </c>
      <c r="CY92">
        <f>AA92</f>
        <v>1</v>
      </c>
      <c r="CZ92">
        <f>AE92</f>
        <v>1</v>
      </c>
      <c r="DA92">
        <f>AI92</f>
        <v>1</v>
      </c>
      <c r="DB92">
        <f>ROUND(ROUND(AT92*CZ92,2),2)</f>
        <v>1.17</v>
      </c>
      <c r="DC92">
        <f>ROUND(ROUND(AT92*AG92,2),2)</f>
        <v>0</v>
      </c>
    </row>
    <row r="93" spans="1:107" x14ac:dyDescent="0.2">
      <c r="A93">
        <f>ROW(Source!A85)</f>
        <v>85</v>
      </c>
      <c r="B93">
        <v>48276314</v>
      </c>
      <c r="C93">
        <v>48277538</v>
      </c>
      <c r="D93">
        <v>29362762</v>
      </c>
      <c r="E93">
        <v>1</v>
      </c>
      <c r="F93">
        <v>1</v>
      </c>
      <c r="G93">
        <v>1</v>
      </c>
      <c r="H93">
        <v>1</v>
      </c>
      <c r="I93" t="s">
        <v>425</v>
      </c>
      <c r="J93" t="s">
        <v>6</v>
      </c>
      <c r="K93" t="s">
        <v>426</v>
      </c>
      <c r="L93">
        <v>1369</v>
      </c>
      <c r="N93">
        <v>1013</v>
      </c>
      <c r="O93" t="s">
        <v>356</v>
      </c>
      <c r="P93" t="s">
        <v>356</v>
      </c>
      <c r="Q93">
        <v>1</v>
      </c>
      <c r="W93">
        <v>0</v>
      </c>
      <c r="X93">
        <v>604758886</v>
      </c>
      <c r="Y93">
        <v>41.04</v>
      </c>
      <c r="AA93">
        <v>0</v>
      </c>
      <c r="AB93">
        <v>0</v>
      </c>
      <c r="AC93">
        <v>0</v>
      </c>
      <c r="AD93">
        <v>289.08</v>
      </c>
      <c r="AE93">
        <v>0</v>
      </c>
      <c r="AF93">
        <v>0</v>
      </c>
      <c r="AG93">
        <v>0</v>
      </c>
      <c r="AH93">
        <v>289.08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30.4</v>
      </c>
      <c r="AU93" t="s">
        <v>205</v>
      </c>
      <c r="AV93">
        <v>1</v>
      </c>
      <c r="AW93">
        <v>2</v>
      </c>
      <c r="AX93">
        <v>48277541</v>
      </c>
      <c r="AY93">
        <v>1</v>
      </c>
      <c r="AZ93">
        <v>0</v>
      </c>
      <c r="BA93">
        <v>88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Y93*Source!I85</f>
        <v>2.4623999999999997</v>
      </c>
      <c r="CY93">
        <f>AD93</f>
        <v>289.08</v>
      </c>
      <c r="CZ93">
        <f>AH93</f>
        <v>289.08</v>
      </c>
      <c r="DA93">
        <f>AL93</f>
        <v>1</v>
      </c>
      <c r="DB93">
        <f>ROUND((ROUND(AT93*CZ93,2)*1.35),2)</f>
        <v>11863.84</v>
      </c>
      <c r="DC93">
        <f>ROUND((ROUND(AT93*AG93,2)*1.35),2)</f>
        <v>0</v>
      </c>
    </row>
    <row r="94" spans="1:107" x14ac:dyDescent="0.2">
      <c r="A94">
        <f>ROW(Source!A85)</f>
        <v>85</v>
      </c>
      <c r="B94">
        <v>48276314</v>
      </c>
      <c r="C94">
        <v>48277538</v>
      </c>
      <c r="D94">
        <v>29171808</v>
      </c>
      <c r="E94">
        <v>1</v>
      </c>
      <c r="F94">
        <v>1</v>
      </c>
      <c r="G94">
        <v>1</v>
      </c>
      <c r="H94">
        <v>3</v>
      </c>
      <c r="I94" t="s">
        <v>384</v>
      </c>
      <c r="J94" t="s">
        <v>385</v>
      </c>
      <c r="K94" t="s">
        <v>386</v>
      </c>
      <c r="L94">
        <v>1374</v>
      </c>
      <c r="N94">
        <v>1013</v>
      </c>
      <c r="O94" t="s">
        <v>387</v>
      </c>
      <c r="P94" t="s">
        <v>387</v>
      </c>
      <c r="Q94">
        <v>1</v>
      </c>
      <c r="W94">
        <v>0</v>
      </c>
      <c r="X94">
        <v>-915781824</v>
      </c>
      <c r="Y94">
        <v>5.85</v>
      </c>
      <c r="AA94">
        <v>1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6</v>
      </c>
      <c r="AT94">
        <v>5.85</v>
      </c>
      <c r="AU94" t="s">
        <v>6</v>
      </c>
      <c r="AV94">
        <v>0</v>
      </c>
      <c r="AW94">
        <v>2</v>
      </c>
      <c r="AX94">
        <v>48277542</v>
      </c>
      <c r="AY94">
        <v>1</v>
      </c>
      <c r="AZ94">
        <v>0</v>
      </c>
      <c r="BA94">
        <v>89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Y94*Source!I85</f>
        <v>0.35099999999999998</v>
      </c>
      <c r="CY94">
        <f>AA94</f>
        <v>1</v>
      </c>
      <c r="CZ94">
        <f>AE94</f>
        <v>1</v>
      </c>
      <c r="DA94">
        <f>AI94</f>
        <v>1</v>
      </c>
      <c r="DB94">
        <f>ROUND(ROUND(AT94*CZ94,2),2)</f>
        <v>5.85</v>
      </c>
      <c r="DC94">
        <f>ROUND(ROUND(AT94*AG94,2),2)</f>
        <v>0</v>
      </c>
    </row>
    <row r="95" spans="1:107" x14ac:dyDescent="0.2">
      <c r="A95">
        <f>ROW(Source!A86)</f>
        <v>86</v>
      </c>
      <c r="B95">
        <v>48276314</v>
      </c>
      <c r="C95">
        <v>48277543</v>
      </c>
      <c r="D95">
        <v>29361034</v>
      </c>
      <c r="E95">
        <v>1</v>
      </c>
      <c r="F95">
        <v>1</v>
      </c>
      <c r="G95">
        <v>1</v>
      </c>
      <c r="H95">
        <v>1</v>
      </c>
      <c r="I95" t="s">
        <v>388</v>
      </c>
      <c r="J95" t="s">
        <v>6</v>
      </c>
      <c r="K95" t="s">
        <v>389</v>
      </c>
      <c r="L95">
        <v>1369</v>
      </c>
      <c r="N95">
        <v>1013</v>
      </c>
      <c r="O95" t="s">
        <v>356</v>
      </c>
      <c r="P95" t="s">
        <v>356</v>
      </c>
      <c r="Q95">
        <v>1</v>
      </c>
      <c r="W95">
        <v>0</v>
      </c>
      <c r="X95">
        <v>184923391</v>
      </c>
      <c r="Y95">
        <v>43.415999999999997</v>
      </c>
      <c r="AA95">
        <v>0</v>
      </c>
      <c r="AB95">
        <v>0</v>
      </c>
      <c r="AC95">
        <v>0</v>
      </c>
      <c r="AD95">
        <v>282.47000000000003</v>
      </c>
      <c r="AE95">
        <v>0</v>
      </c>
      <c r="AF95">
        <v>0</v>
      </c>
      <c r="AG95">
        <v>0</v>
      </c>
      <c r="AH95">
        <v>282.47000000000003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32.159999999999997</v>
      </c>
      <c r="AU95" t="s">
        <v>205</v>
      </c>
      <c r="AV95">
        <v>1</v>
      </c>
      <c r="AW95">
        <v>2</v>
      </c>
      <c r="AX95">
        <v>48277553</v>
      </c>
      <c r="AY95">
        <v>1</v>
      </c>
      <c r="AZ95">
        <v>0</v>
      </c>
      <c r="BA95">
        <v>90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Y95*Source!I86</f>
        <v>0.86831999999999998</v>
      </c>
      <c r="CY95">
        <f>AD95</f>
        <v>282.47000000000003</v>
      </c>
      <c r="CZ95">
        <f>AH95</f>
        <v>282.47000000000003</v>
      </c>
      <c r="DA95">
        <f>AL95</f>
        <v>1</v>
      </c>
      <c r="DB95">
        <f>ROUND((ROUND(AT95*CZ95,2)*1.35),2)</f>
        <v>12263.72</v>
      </c>
      <c r="DC95">
        <f>ROUND((ROUND(AT95*AG95,2)*1.35),2)</f>
        <v>0</v>
      </c>
    </row>
    <row r="96" spans="1:107" x14ac:dyDescent="0.2">
      <c r="A96">
        <f>ROW(Source!A86)</f>
        <v>86</v>
      </c>
      <c r="B96">
        <v>48276314</v>
      </c>
      <c r="C96">
        <v>48277543</v>
      </c>
      <c r="D96">
        <v>121548</v>
      </c>
      <c r="E96">
        <v>1</v>
      </c>
      <c r="F96">
        <v>1</v>
      </c>
      <c r="G96">
        <v>1</v>
      </c>
      <c r="H96">
        <v>1</v>
      </c>
      <c r="I96" t="s">
        <v>40</v>
      </c>
      <c r="J96" t="s">
        <v>6</v>
      </c>
      <c r="K96" t="s">
        <v>359</v>
      </c>
      <c r="L96">
        <v>608254</v>
      </c>
      <c r="N96">
        <v>1013</v>
      </c>
      <c r="O96" t="s">
        <v>360</v>
      </c>
      <c r="P96" t="s">
        <v>360</v>
      </c>
      <c r="Q96">
        <v>1</v>
      </c>
      <c r="W96">
        <v>0</v>
      </c>
      <c r="X96">
        <v>-185737400</v>
      </c>
      <c r="Y96">
        <v>4.0500000000000001E-2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0.03</v>
      </c>
      <c r="AU96" t="s">
        <v>205</v>
      </c>
      <c r="AV96">
        <v>2</v>
      </c>
      <c r="AW96">
        <v>2</v>
      </c>
      <c r="AX96">
        <v>48277554</v>
      </c>
      <c r="AY96">
        <v>1</v>
      </c>
      <c r="AZ96">
        <v>0</v>
      </c>
      <c r="BA96">
        <v>91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Y96*Source!I86</f>
        <v>8.1000000000000006E-4</v>
      </c>
      <c r="CY96">
        <f>AD96</f>
        <v>0</v>
      </c>
      <c r="CZ96">
        <f>AH96</f>
        <v>0</v>
      </c>
      <c r="DA96">
        <f>AL96</f>
        <v>1</v>
      </c>
      <c r="DB96">
        <f>ROUND((ROUND(AT96*CZ96,2)*1.35),2)</f>
        <v>0</v>
      </c>
      <c r="DC96">
        <f>ROUND((ROUND(AT96*AG96,2)*1.35),2)</f>
        <v>0</v>
      </c>
    </row>
    <row r="97" spans="1:107" x14ac:dyDescent="0.2">
      <c r="A97">
        <f>ROW(Source!A86)</f>
        <v>86</v>
      </c>
      <c r="B97">
        <v>48276314</v>
      </c>
      <c r="C97">
        <v>48277543</v>
      </c>
      <c r="D97">
        <v>29172362</v>
      </c>
      <c r="E97">
        <v>1</v>
      </c>
      <c r="F97">
        <v>1</v>
      </c>
      <c r="G97">
        <v>1</v>
      </c>
      <c r="H97">
        <v>2</v>
      </c>
      <c r="I97" t="s">
        <v>390</v>
      </c>
      <c r="J97" t="s">
        <v>391</v>
      </c>
      <c r="K97" t="s">
        <v>392</v>
      </c>
      <c r="L97">
        <v>1368</v>
      </c>
      <c r="N97">
        <v>1011</v>
      </c>
      <c r="O97" t="s">
        <v>364</v>
      </c>
      <c r="P97" t="s">
        <v>364</v>
      </c>
      <c r="Q97">
        <v>1</v>
      </c>
      <c r="W97">
        <v>0</v>
      </c>
      <c r="X97">
        <v>783836208</v>
      </c>
      <c r="Y97">
        <v>4.0500000000000001E-2</v>
      </c>
      <c r="AA97">
        <v>0</v>
      </c>
      <c r="AB97">
        <v>1058.3499999999999</v>
      </c>
      <c r="AC97">
        <v>405.68</v>
      </c>
      <c r="AD97">
        <v>0</v>
      </c>
      <c r="AE97">
        <v>0</v>
      </c>
      <c r="AF97">
        <v>134.65</v>
      </c>
      <c r="AG97">
        <v>13.5</v>
      </c>
      <c r="AH97">
        <v>0</v>
      </c>
      <c r="AI97">
        <v>1</v>
      </c>
      <c r="AJ97">
        <v>7.86</v>
      </c>
      <c r="AK97">
        <v>30.05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6</v>
      </c>
      <c r="AT97">
        <v>0.03</v>
      </c>
      <c r="AU97" t="s">
        <v>205</v>
      </c>
      <c r="AV97">
        <v>0</v>
      </c>
      <c r="AW97">
        <v>2</v>
      </c>
      <c r="AX97">
        <v>48277555</v>
      </c>
      <c r="AY97">
        <v>1</v>
      </c>
      <c r="AZ97">
        <v>0</v>
      </c>
      <c r="BA97">
        <v>92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Y97*Source!I86</f>
        <v>8.1000000000000006E-4</v>
      </c>
      <c r="CY97">
        <f>AB97</f>
        <v>1058.3499999999999</v>
      </c>
      <c r="CZ97">
        <f>AF97</f>
        <v>134.65</v>
      </c>
      <c r="DA97">
        <f>AJ97</f>
        <v>7.86</v>
      </c>
      <c r="DB97">
        <f>ROUND((ROUND(AT97*CZ97,2)*1.35),2)</f>
        <v>5.45</v>
      </c>
      <c r="DC97">
        <f>ROUND((ROUND(AT97*AG97,2)*1.35),2)</f>
        <v>0.55000000000000004</v>
      </c>
    </row>
    <row r="98" spans="1:107" x14ac:dyDescent="0.2">
      <c r="A98">
        <f>ROW(Source!A86)</f>
        <v>86</v>
      </c>
      <c r="B98">
        <v>48276314</v>
      </c>
      <c r="C98">
        <v>48277543</v>
      </c>
      <c r="D98">
        <v>29174500</v>
      </c>
      <c r="E98">
        <v>1</v>
      </c>
      <c r="F98">
        <v>1</v>
      </c>
      <c r="G98">
        <v>1</v>
      </c>
      <c r="H98">
        <v>2</v>
      </c>
      <c r="I98" t="s">
        <v>454</v>
      </c>
      <c r="J98" t="s">
        <v>455</v>
      </c>
      <c r="K98" t="s">
        <v>456</v>
      </c>
      <c r="L98">
        <v>1368</v>
      </c>
      <c r="N98">
        <v>1011</v>
      </c>
      <c r="O98" t="s">
        <v>364</v>
      </c>
      <c r="P98" t="s">
        <v>364</v>
      </c>
      <c r="Q98">
        <v>1</v>
      </c>
      <c r="W98">
        <v>0</v>
      </c>
      <c r="X98">
        <v>-1867053656</v>
      </c>
      <c r="Y98">
        <v>17.28</v>
      </c>
      <c r="AA98">
        <v>0</v>
      </c>
      <c r="AB98">
        <v>7.25</v>
      </c>
      <c r="AC98">
        <v>0</v>
      </c>
      <c r="AD98">
        <v>0</v>
      </c>
      <c r="AE98">
        <v>0</v>
      </c>
      <c r="AF98">
        <v>1.95</v>
      </c>
      <c r="AG98">
        <v>0</v>
      </c>
      <c r="AH98">
        <v>0</v>
      </c>
      <c r="AI98">
        <v>1</v>
      </c>
      <c r="AJ98">
        <v>3.72</v>
      </c>
      <c r="AK98">
        <v>30.05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6</v>
      </c>
      <c r="AT98">
        <v>12.8</v>
      </c>
      <c r="AU98" t="s">
        <v>205</v>
      </c>
      <c r="AV98">
        <v>0</v>
      </c>
      <c r="AW98">
        <v>2</v>
      </c>
      <c r="AX98">
        <v>48277556</v>
      </c>
      <c r="AY98">
        <v>1</v>
      </c>
      <c r="AZ98">
        <v>0</v>
      </c>
      <c r="BA98">
        <v>93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Y98*Source!I86</f>
        <v>0.34560000000000002</v>
      </c>
      <c r="CY98">
        <f>AB98</f>
        <v>7.25</v>
      </c>
      <c r="CZ98">
        <f>AF98</f>
        <v>1.95</v>
      </c>
      <c r="DA98">
        <f>AJ98</f>
        <v>3.72</v>
      </c>
      <c r="DB98">
        <f>ROUND((ROUND(AT98*CZ98,2)*1.35),2)</f>
        <v>33.700000000000003</v>
      </c>
      <c r="DC98">
        <f>ROUND((ROUND(AT98*AG98,2)*1.35),2)</f>
        <v>0</v>
      </c>
    </row>
    <row r="99" spans="1:107" x14ac:dyDescent="0.2">
      <c r="A99">
        <f>ROW(Source!A86)</f>
        <v>86</v>
      </c>
      <c r="B99">
        <v>48276314</v>
      </c>
      <c r="C99">
        <v>48277543</v>
      </c>
      <c r="D99">
        <v>29174913</v>
      </c>
      <c r="E99">
        <v>1</v>
      </c>
      <c r="F99">
        <v>1</v>
      </c>
      <c r="G99">
        <v>1</v>
      </c>
      <c r="H99">
        <v>2</v>
      </c>
      <c r="I99" t="s">
        <v>396</v>
      </c>
      <c r="J99" t="s">
        <v>397</v>
      </c>
      <c r="K99" t="s">
        <v>398</v>
      </c>
      <c r="L99">
        <v>1368</v>
      </c>
      <c r="N99">
        <v>1011</v>
      </c>
      <c r="O99" t="s">
        <v>364</v>
      </c>
      <c r="P99" t="s">
        <v>364</v>
      </c>
      <c r="Q99">
        <v>1</v>
      </c>
      <c r="W99">
        <v>0</v>
      </c>
      <c r="X99">
        <v>1230759911</v>
      </c>
      <c r="Y99">
        <v>4.0500000000000001E-2</v>
      </c>
      <c r="AA99">
        <v>0</v>
      </c>
      <c r="AB99">
        <v>887.39</v>
      </c>
      <c r="AC99">
        <v>348.58</v>
      </c>
      <c r="AD99">
        <v>0</v>
      </c>
      <c r="AE99">
        <v>0</v>
      </c>
      <c r="AF99">
        <v>87.17</v>
      </c>
      <c r="AG99">
        <v>11.6</v>
      </c>
      <c r="AH99">
        <v>0</v>
      </c>
      <c r="AI99">
        <v>1</v>
      </c>
      <c r="AJ99">
        <v>10.18</v>
      </c>
      <c r="AK99">
        <v>30.05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6</v>
      </c>
      <c r="AT99">
        <v>0.03</v>
      </c>
      <c r="AU99" t="s">
        <v>205</v>
      </c>
      <c r="AV99">
        <v>0</v>
      </c>
      <c r="AW99">
        <v>2</v>
      </c>
      <c r="AX99">
        <v>48277557</v>
      </c>
      <c r="AY99">
        <v>1</v>
      </c>
      <c r="AZ99">
        <v>0</v>
      </c>
      <c r="BA99">
        <v>94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Y99*Source!I86</f>
        <v>8.1000000000000006E-4</v>
      </c>
      <c r="CY99">
        <f>AB99</f>
        <v>887.39</v>
      </c>
      <c r="CZ99">
        <f>AF99</f>
        <v>87.17</v>
      </c>
      <c r="DA99">
        <f>AJ99</f>
        <v>10.18</v>
      </c>
      <c r="DB99">
        <f>ROUND((ROUND(AT99*CZ99,2)*1.35),2)</f>
        <v>3.54</v>
      </c>
      <c r="DC99">
        <f>ROUND((ROUND(AT99*AG99,2)*1.35),2)</f>
        <v>0.47</v>
      </c>
    </row>
    <row r="100" spans="1:107" x14ac:dyDescent="0.2">
      <c r="A100">
        <f>ROW(Source!A86)</f>
        <v>86</v>
      </c>
      <c r="B100">
        <v>48276314</v>
      </c>
      <c r="C100">
        <v>48277543</v>
      </c>
      <c r="D100">
        <v>29114470</v>
      </c>
      <c r="E100">
        <v>1</v>
      </c>
      <c r="F100">
        <v>1</v>
      </c>
      <c r="G100">
        <v>1</v>
      </c>
      <c r="H100">
        <v>3</v>
      </c>
      <c r="I100" t="s">
        <v>460</v>
      </c>
      <c r="J100" t="s">
        <v>461</v>
      </c>
      <c r="K100" t="s">
        <v>462</v>
      </c>
      <c r="L100">
        <v>1355</v>
      </c>
      <c r="N100">
        <v>1010</v>
      </c>
      <c r="O100" t="s">
        <v>225</v>
      </c>
      <c r="P100" t="s">
        <v>225</v>
      </c>
      <c r="Q100">
        <v>100</v>
      </c>
      <c r="W100">
        <v>0</v>
      </c>
      <c r="X100">
        <v>1627582661</v>
      </c>
      <c r="Y100">
        <v>2.04</v>
      </c>
      <c r="AA100">
        <v>54.33</v>
      </c>
      <c r="AB100">
        <v>0</v>
      </c>
      <c r="AC100">
        <v>0</v>
      </c>
      <c r="AD100">
        <v>0</v>
      </c>
      <c r="AE100">
        <v>86.24</v>
      </c>
      <c r="AF100">
        <v>0</v>
      </c>
      <c r="AG100">
        <v>0</v>
      </c>
      <c r="AH100">
        <v>0</v>
      </c>
      <c r="AI100">
        <v>0.63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6</v>
      </c>
      <c r="AT100">
        <v>2.04</v>
      </c>
      <c r="AU100" t="s">
        <v>6</v>
      </c>
      <c r="AV100">
        <v>0</v>
      </c>
      <c r="AW100">
        <v>2</v>
      </c>
      <c r="AX100">
        <v>48277558</v>
      </c>
      <c r="AY100">
        <v>1</v>
      </c>
      <c r="AZ100">
        <v>0</v>
      </c>
      <c r="BA100">
        <v>95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Y100*Source!I86</f>
        <v>4.0800000000000003E-2</v>
      </c>
      <c r="CY100">
        <f>AA100</f>
        <v>54.33</v>
      </c>
      <c r="CZ100">
        <f>AE100</f>
        <v>86.24</v>
      </c>
      <c r="DA100">
        <f>AI100</f>
        <v>0.63</v>
      </c>
      <c r="DB100">
        <f>ROUND(ROUND(AT100*CZ100,2),2)</f>
        <v>175.93</v>
      </c>
      <c r="DC100">
        <f>ROUND(ROUND(AT100*AG100,2),2)</f>
        <v>0</v>
      </c>
    </row>
    <row r="101" spans="1:107" x14ac:dyDescent="0.2">
      <c r="A101">
        <f>ROW(Source!A86)</f>
        <v>86</v>
      </c>
      <c r="B101">
        <v>48276314</v>
      </c>
      <c r="C101">
        <v>48277543</v>
      </c>
      <c r="D101">
        <v>29114732</v>
      </c>
      <c r="E101">
        <v>1</v>
      </c>
      <c r="F101">
        <v>1</v>
      </c>
      <c r="G101">
        <v>1</v>
      </c>
      <c r="H101">
        <v>3</v>
      </c>
      <c r="I101" t="s">
        <v>469</v>
      </c>
      <c r="J101" t="s">
        <v>470</v>
      </c>
      <c r="K101" t="s">
        <v>471</v>
      </c>
      <c r="L101">
        <v>1355</v>
      </c>
      <c r="N101">
        <v>1010</v>
      </c>
      <c r="O101" t="s">
        <v>225</v>
      </c>
      <c r="P101" t="s">
        <v>225</v>
      </c>
      <c r="Q101">
        <v>100</v>
      </c>
      <c r="W101">
        <v>0</v>
      </c>
      <c r="X101">
        <v>1454712393</v>
      </c>
      <c r="Y101">
        <v>2.04</v>
      </c>
      <c r="AA101">
        <v>22.4</v>
      </c>
      <c r="AB101">
        <v>0</v>
      </c>
      <c r="AC101">
        <v>0</v>
      </c>
      <c r="AD101">
        <v>0</v>
      </c>
      <c r="AE101">
        <v>2</v>
      </c>
      <c r="AF101">
        <v>0</v>
      </c>
      <c r="AG101">
        <v>0</v>
      </c>
      <c r="AH101">
        <v>0</v>
      </c>
      <c r="AI101">
        <v>11.2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6</v>
      </c>
      <c r="AT101">
        <v>2.04</v>
      </c>
      <c r="AU101" t="s">
        <v>6</v>
      </c>
      <c r="AV101">
        <v>0</v>
      </c>
      <c r="AW101">
        <v>2</v>
      </c>
      <c r="AX101">
        <v>48277559</v>
      </c>
      <c r="AY101">
        <v>1</v>
      </c>
      <c r="AZ101">
        <v>0</v>
      </c>
      <c r="BA101">
        <v>96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Y101*Source!I86</f>
        <v>4.0800000000000003E-2</v>
      </c>
      <c r="CY101">
        <f>AA101</f>
        <v>22.4</v>
      </c>
      <c r="CZ101">
        <f>AE101</f>
        <v>2</v>
      </c>
      <c r="DA101">
        <f>AI101</f>
        <v>11.2</v>
      </c>
      <c r="DB101">
        <f>ROUND(ROUND(AT101*CZ101,2),2)</f>
        <v>4.08</v>
      </c>
      <c r="DC101">
        <f>ROUND(ROUND(AT101*AG101,2),2)</f>
        <v>0</v>
      </c>
    </row>
    <row r="102" spans="1:107" x14ac:dyDescent="0.2">
      <c r="A102">
        <f>ROW(Source!A86)</f>
        <v>86</v>
      </c>
      <c r="B102">
        <v>48276314</v>
      </c>
      <c r="C102">
        <v>48277543</v>
      </c>
      <c r="D102">
        <v>33664197</v>
      </c>
      <c r="E102">
        <v>1</v>
      </c>
      <c r="F102">
        <v>1</v>
      </c>
      <c r="G102">
        <v>1</v>
      </c>
      <c r="H102">
        <v>3</v>
      </c>
      <c r="I102" t="s">
        <v>232</v>
      </c>
      <c r="J102" t="s">
        <v>235</v>
      </c>
      <c r="K102" t="s">
        <v>233</v>
      </c>
      <c r="L102">
        <v>1477</v>
      </c>
      <c r="N102">
        <v>1013</v>
      </c>
      <c r="O102" t="s">
        <v>234</v>
      </c>
      <c r="P102" t="s">
        <v>236</v>
      </c>
      <c r="Q102">
        <v>1</v>
      </c>
      <c r="W102">
        <v>0</v>
      </c>
      <c r="X102">
        <v>1950066811</v>
      </c>
      <c r="Y102">
        <v>0.1</v>
      </c>
      <c r="AA102">
        <v>170083.12</v>
      </c>
      <c r="AB102">
        <v>0</v>
      </c>
      <c r="AC102">
        <v>0</v>
      </c>
      <c r="AD102">
        <v>0</v>
      </c>
      <c r="AE102">
        <v>170083.12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0.1</v>
      </c>
      <c r="AU102" t="s">
        <v>6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Y102*Source!I86</f>
        <v>2E-3</v>
      </c>
      <c r="CY102">
        <f>AA102</f>
        <v>170083.12</v>
      </c>
      <c r="CZ102">
        <f>AE102</f>
        <v>170083.12</v>
      </c>
      <c r="DA102">
        <f>AI102</f>
        <v>1</v>
      </c>
      <c r="DB102">
        <f>ROUND(ROUND(AT102*CZ102,2),2)</f>
        <v>17008.310000000001</v>
      </c>
      <c r="DC102">
        <f>ROUND(ROUND(AT102*AG102,2),2)</f>
        <v>0</v>
      </c>
    </row>
    <row r="103" spans="1:107" x14ac:dyDescent="0.2">
      <c r="A103">
        <f>ROW(Source!A86)</f>
        <v>86</v>
      </c>
      <c r="B103">
        <v>48276314</v>
      </c>
      <c r="C103">
        <v>48277543</v>
      </c>
      <c r="D103">
        <v>29171808</v>
      </c>
      <c r="E103">
        <v>1</v>
      </c>
      <c r="F103">
        <v>1</v>
      </c>
      <c r="G103">
        <v>1</v>
      </c>
      <c r="H103">
        <v>3</v>
      </c>
      <c r="I103" t="s">
        <v>384</v>
      </c>
      <c r="J103" t="s">
        <v>385</v>
      </c>
      <c r="K103" t="s">
        <v>386</v>
      </c>
      <c r="L103">
        <v>1374</v>
      </c>
      <c r="N103">
        <v>1013</v>
      </c>
      <c r="O103" t="s">
        <v>387</v>
      </c>
      <c r="P103" t="s">
        <v>387</v>
      </c>
      <c r="Q103">
        <v>1</v>
      </c>
      <c r="W103">
        <v>0</v>
      </c>
      <c r="X103">
        <v>-915781824</v>
      </c>
      <c r="Y103">
        <v>6.05</v>
      </c>
      <c r="AA103">
        <v>1</v>
      </c>
      <c r="AB103">
        <v>0</v>
      </c>
      <c r="AC103">
        <v>0</v>
      </c>
      <c r="AD103">
        <v>0</v>
      </c>
      <c r="AE103">
        <v>1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6</v>
      </c>
      <c r="AT103">
        <v>6.05</v>
      </c>
      <c r="AU103" t="s">
        <v>6</v>
      </c>
      <c r="AV103">
        <v>0</v>
      </c>
      <c r="AW103">
        <v>2</v>
      </c>
      <c r="AX103">
        <v>48277560</v>
      </c>
      <c r="AY103">
        <v>1</v>
      </c>
      <c r="AZ103">
        <v>0</v>
      </c>
      <c r="BA103">
        <v>97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Y103*Source!I86</f>
        <v>0.121</v>
      </c>
      <c r="CY103">
        <f>AA103</f>
        <v>1</v>
      </c>
      <c r="CZ103">
        <f>AE103</f>
        <v>1</v>
      </c>
      <c r="DA103">
        <f>AI103</f>
        <v>1</v>
      </c>
      <c r="DB103">
        <f>ROUND(ROUND(AT103*CZ103,2),2)</f>
        <v>6.05</v>
      </c>
      <c r="DC103">
        <f>ROUND(ROUND(AT103*AG103,2),2)</f>
        <v>0</v>
      </c>
    </row>
    <row r="104" spans="1:107" x14ac:dyDescent="0.2">
      <c r="A104">
        <f>ROW(Source!A88)</f>
        <v>88</v>
      </c>
      <c r="B104">
        <v>48276314</v>
      </c>
      <c r="C104">
        <v>48276748</v>
      </c>
      <c r="D104">
        <v>29362762</v>
      </c>
      <c r="E104">
        <v>1</v>
      </c>
      <c r="F104">
        <v>1</v>
      </c>
      <c r="G104">
        <v>1</v>
      </c>
      <c r="H104">
        <v>1</v>
      </c>
      <c r="I104" t="s">
        <v>425</v>
      </c>
      <c r="J104" t="s">
        <v>6</v>
      </c>
      <c r="K104" t="s">
        <v>426</v>
      </c>
      <c r="L104">
        <v>1369</v>
      </c>
      <c r="N104">
        <v>1013</v>
      </c>
      <c r="O104" t="s">
        <v>356</v>
      </c>
      <c r="P104" t="s">
        <v>356</v>
      </c>
      <c r="Q104">
        <v>1</v>
      </c>
      <c r="W104">
        <v>0</v>
      </c>
      <c r="X104">
        <v>604758886</v>
      </c>
      <c r="Y104">
        <v>10.8468</v>
      </c>
      <c r="AA104">
        <v>0</v>
      </c>
      <c r="AB104">
        <v>0</v>
      </c>
      <c r="AC104">
        <v>0</v>
      </c>
      <c r="AD104">
        <v>289.08</v>
      </c>
      <c r="AE104">
        <v>0</v>
      </c>
      <c r="AF104">
        <v>0</v>
      </c>
      <c r="AG104">
        <v>0</v>
      </c>
      <c r="AH104">
        <v>289.08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6</v>
      </c>
      <c r="AT104">
        <v>7.86</v>
      </c>
      <c r="AU104" t="s">
        <v>49</v>
      </c>
      <c r="AV104">
        <v>1</v>
      </c>
      <c r="AW104">
        <v>2</v>
      </c>
      <c r="AX104">
        <v>48277508</v>
      </c>
      <c r="AY104">
        <v>1</v>
      </c>
      <c r="AZ104">
        <v>0</v>
      </c>
      <c r="BA104">
        <v>98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Y104*Source!I88</f>
        <v>32.540399999999998</v>
      </c>
      <c r="CY104">
        <f>AD104</f>
        <v>289.08</v>
      </c>
      <c r="CZ104">
        <f>AH104</f>
        <v>289.08</v>
      </c>
      <c r="DA104">
        <f>AL104</f>
        <v>1</v>
      </c>
      <c r="DB104">
        <f>ROUND(((ROUND(AT104*CZ104,2)*1.2)*1.15),2)</f>
        <v>3135.59</v>
      </c>
      <c r="DC104">
        <f>ROUND(((ROUND(AT104*AG104,2)*1.2)*1.15),2)</f>
        <v>0</v>
      </c>
    </row>
    <row r="105" spans="1:107" x14ac:dyDescent="0.2">
      <c r="A105">
        <f>ROW(Source!A88)</f>
        <v>88</v>
      </c>
      <c r="B105">
        <v>48276314</v>
      </c>
      <c r="C105">
        <v>48276748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40</v>
      </c>
      <c r="J105" t="s">
        <v>6</v>
      </c>
      <c r="K105" t="s">
        <v>359</v>
      </c>
      <c r="L105">
        <v>608254</v>
      </c>
      <c r="N105">
        <v>1013</v>
      </c>
      <c r="O105" t="s">
        <v>360</v>
      </c>
      <c r="P105" t="s">
        <v>360</v>
      </c>
      <c r="Q105">
        <v>1</v>
      </c>
      <c r="W105">
        <v>0</v>
      </c>
      <c r="X105">
        <v>-185737400</v>
      </c>
      <c r="Y105">
        <v>1.38E-2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6</v>
      </c>
      <c r="AT105">
        <v>0.01</v>
      </c>
      <c r="AU105" t="s">
        <v>49</v>
      </c>
      <c r="AV105">
        <v>2</v>
      </c>
      <c r="AW105">
        <v>2</v>
      </c>
      <c r="AX105">
        <v>48277509</v>
      </c>
      <c r="AY105">
        <v>1</v>
      </c>
      <c r="AZ105">
        <v>0</v>
      </c>
      <c r="BA105">
        <v>99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Y105*Source!I88</f>
        <v>4.1399999999999999E-2</v>
      </c>
      <c r="CY105">
        <f>AD105</f>
        <v>0</v>
      </c>
      <c r="CZ105">
        <f>AH105</f>
        <v>0</v>
      </c>
      <c r="DA105">
        <f>AL105</f>
        <v>1</v>
      </c>
      <c r="DB105">
        <f>ROUND(((ROUND(AT105*CZ105,2)*1.2)*1.15),2)</f>
        <v>0</v>
      </c>
      <c r="DC105">
        <f>ROUND(((ROUND(AT105*AG105,2)*1.2)*1.15),2)</f>
        <v>0</v>
      </c>
    </row>
    <row r="106" spans="1:107" x14ac:dyDescent="0.2">
      <c r="A106">
        <f>ROW(Source!A88)</f>
        <v>88</v>
      </c>
      <c r="B106">
        <v>48276314</v>
      </c>
      <c r="C106">
        <v>48276748</v>
      </c>
      <c r="D106">
        <v>29172362</v>
      </c>
      <c r="E106">
        <v>1</v>
      </c>
      <c r="F106">
        <v>1</v>
      </c>
      <c r="G106">
        <v>1</v>
      </c>
      <c r="H106">
        <v>2</v>
      </c>
      <c r="I106" t="s">
        <v>390</v>
      </c>
      <c r="J106" t="s">
        <v>391</v>
      </c>
      <c r="K106" t="s">
        <v>392</v>
      </c>
      <c r="L106">
        <v>1368</v>
      </c>
      <c r="N106">
        <v>1011</v>
      </c>
      <c r="O106" t="s">
        <v>364</v>
      </c>
      <c r="P106" t="s">
        <v>364</v>
      </c>
      <c r="Q106">
        <v>1</v>
      </c>
      <c r="W106">
        <v>0</v>
      </c>
      <c r="X106">
        <v>783836208</v>
      </c>
      <c r="Y106">
        <v>1.38E-2</v>
      </c>
      <c r="AA106">
        <v>0</v>
      </c>
      <c r="AB106">
        <v>1058.3499999999999</v>
      </c>
      <c r="AC106">
        <v>405.68</v>
      </c>
      <c r="AD106">
        <v>0</v>
      </c>
      <c r="AE106">
        <v>0</v>
      </c>
      <c r="AF106">
        <v>134.65</v>
      </c>
      <c r="AG106">
        <v>13.5</v>
      </c>
      <c r="AH106">
        <v>0</v>
      </c>
      <c r="AI106">
        <v>1</v>
      </c>
      <c r="AJ106">
        <v>7.86</v>
      </c>
      <c r="AK106">
        <v>30.05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6</v>
      </c>
      <c r="AT106">
        <v>0.01</v>
      </c>
      <c r="AU106" t="s">
        <v>49</v>
      </c>
      <c r="AV106">
        <v>0</v>
      </c>
      <c r="AW106">
        <v>2</v>
      </c>
      <c r="AX106">
        <v>48277510</v>
      </c>
      <c r="AY106">
        <v>1</v>
      </c>
      <c r="AZ106">
        <v>0</v>
      </c>
      <c r="BA106">
        <v>100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Y106*Source!I88</f>
        <v>4.1399999999999999E-2</v>
      </c>
      <c r="CY106">
        <f>AB106</f>
        <v>1058.3499999999999</v>
      </c>
      <c r="CZ106">
        <f>AF106</f>
        <v>134.65</v>
      </c>
      <c r="DA106">
        <f>AJ106</f>
        <v>7.86</v>
      </c>
      <c r="DB106">
        <f>ROUND(((ROUND(AT106*CZ106,2)*1.2)*1.15),2)</f>
        <v>1.86</v>
      </c>
      <c r="DC106">
        <f>ROUND(((ROUND(AT106*AG106,2)*1.2)*1.15),2)</f>
        <v>0.19</v>
      </c>
    </row>
    <row r="107" spans="1:107" x14ac:dyDescent="0.2">
      <c r="A107">
        <f>ROW(Source!A88)</f>
        <v>88</v>
      </c>
      <c r="B107">
        <v>48276314</v>
      </c>
      <c r="C107">
        <v>48276748</v>
      </c>
      <c r="D107">
        <v>29174913</v>
      </c>
      <c r="E107">
        <v>1</v>
      </c>
      <c r="F107">
        <v>1</v>
      </c>
      <c r="G107">
        <v>1</v>
      </c>
      <c r="H107">
        <v>2</v>
      </c>
      <c r="I107" t="s">
        <v>396</v>
      </c>
      <c r="J107" t="s">
        <v>397</v>
      </c>
      <c r="K107" t="s">
        <v>398</v>
      </c>
      <c r="L107">
        <v>1368</v>
      </c>
      <c r="N107">
        <v>1011</v>
      </c>
      <c r="O107" t="s">
        <v>364</v>
      </c>
      <c r="P107" t="s">
        <v>364</v>
      </c>
      <c r="Q107">
        <v>1</v>
      </c>
      <c r="W107">
        <v>0</v>
      </c>
      <c r="X107">
        <v>1230759911</v>
      </c>
      <c r="Y107">
        <v>1.38E-2</v>
      </c>
      <c r="AA107">
        <v>0</v>
      </c>
      <c r="AB107">
        <v>887.39</v>
      </c>
      <c r="AC107">
        <v>348.58</v>
      </c>
      <c r="AD107">
        <v>0</v>
      </c>
      <c r="AE107">
        <v>0</v>
      </c>
      <c r="AF107">
        <v>87.17</v>
      </c>
      <c r="AG107">
        <v>11.6</v>
      </c>
      <c r="AH107">
        <v>0</v>
      </c>
      <c r="AI107">
        <v>1</v>
      </c>
      <c r="AJ107">
        <v>10.18</v>
      </c>
      <c r="AK107">
        <v>30.05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6</v>
      </c>
      <c r="AT107">
        <v>0.01</v>
      </c>
      <c r="AU107" t="s">
        <v>49</v>
      </c>
      <c r="AV107">
        <v>0</v>
      </c>
      <c r="AW107">
        <v>2</v>
      </c>
      <c r="AX107">
        <v>48277511</v>
      </c>
      <c r="AY107">
        <v>1</v>
      </c>
      <c r="AZ107">
        <v>0</v>
      </c>
      <c r="BA107">
        <v>101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Y107*Source!I88</f>
        <v>4.1399999999999999E-2</v>
      </c>
      <c r="CY107">
        <f>AB107</f>
        <v>887.39</v>
      </c>
      <c r="CZ107">
        <f>AF107</f>
        <v>87.17</v>
      </c>
      <c r="DA107">
        <f>AJ107</f>
        <v>10.18</v>
      </c>
      <c r="DB107">
        <f>ROUND(((ROUND(AT107*CZ107,2)*1.2)*1.15),2)</f>
        <v>1.2</v>
      </c>
      <c r="DC107">
        <f>ROUND(((ROUND(AT107*AG107,2)*1.2)*1.15),2)</f>
        <v>0.17</v>
      </c>
    </row>
    <row r="108" spans="1:107" x14ac:dyDescent="0.2">
      <c r="A108">
        <f>ROW(Source!A88)</f>
        <v>88</v>
      </c>
      <c r="B108">
        <v>48276314</v>
      </c>
      <c r="C108">
        <v>48276748</v>
      </c>
      <c r="D108">
        <v>29107402</v>
      </c>
      <c r="E108">
        <v>1</v>
      </c>
      <c r="F108">
        <v>1</v>
      </c>
      <c r="G108">
        <v>1</v>
      </c>
      <c r="H108">
        <v>3</v>
      </c>
      <c r="I108" t="s">
        <v>463</v>
      </c>
      <c r="J108" t="s">
        <v>464</v>
      </c>
      <c r="K108" t="s">
        <v>465</v>
      </c>
      <c r="L108">
        <v>1348</v>
      </c>
      <c r="N108">
        <v>1009</v>
      </c>
      <c r="O108" t="s">
        <v>215</v>
      </c>
      <c r="P108" t="s">
        <v>215</v>
      </c>
      <c r="Q108">
        <v>1000</v>
      </c>
      <c r="W108">
        <v>0</v>
      </c>
      <c r="X108">
        <v>-859150690</v>
      </c>
      <c r="Y108">
        <v>8.0000000000000004E-4</v>
      </c>
      <c r="AA108">
        <v>72083.7</v>
      </c>
      <c r="AB108">
        <v>0</v>
      </c>
      <c r="AC108">
        <v>0</v>
      </c>
      <c r="AD108">
        <v>0</v>
      </c>
      <c r="AE108">
        <v>4488.3999999999996</v>
      </c>
      <c r="AF108">
        <v>0</v>
      </c>
      <c r="AG108">
        <v>0</v>
      </c>
      <c r="AH108">
        <v>0</v>
      </c>
      <c r="AI108">
        <v>16.059999999999999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6</v>
      </c>
      <c r="AT108">
        <v>8.0000000000000004E-4</v>
      </c>
      <c r="AU108" t="s">
        <v>6</v>
      </c>
      <c r="AV108">
        <v>0</v>
      </c>
      <c r="AW108">
        <v>2</v>
      </c>
      <c r="AX108">
        <v>48277512</v>
      </c>
      <c r="AY108">
        <v>1</v>
      </c>
      <c r="AZ108">
        <v>0</v>
      </c>
      <c r="BA108">
        <v>102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Y108*Source!I88</f>
        <v>2.4000000000000002E-3</v>
      </c>
      <c r="CY108">
        <f t="shared" ref="CY108:CY113" si="21">AA108</f>
        <v>72083.7</v>
      </c>
      <c r="CZ108">
        <f t="shared" ref="CZ108:CZ113" si="22">AE108</f>
        <v>4488.3999999999996</v>
      </c>
      <c r="DA108">
        <f t="shared" ref="DA108:DA113" si="23">AI108</f>
        <v>16.059999999999999</v>
      </c>
      <c r="DB108">
        <f t="shared" ref="DB108:DB113" si="24">ROUND(ROUND(AT108*CZ108,2),2)</f>
        <v>3.59</v>
      </c>
      <c r="DC108">
        <f t="shared" ref="DC108:DC113" si="25">ROUND(ROUND(AT108*AG108,2),2)</f>
        <v>0</v>
      </c>
    </row>
    <row r="109" spans="1:107" x14ac:dyDescent="0.2">
      <c r="A109">
        <f>ROW(Source!A88)</f>
        <v>88</v>
      </c>
      <c r="B109">
        <v>48276314</v>
      </c>
      <c r="C109">
        <v>48276748</v>
      </c>
      <c r="D109">
        <v>29110793</v>
      </c>
      <c r="E109">
        <v>1</v>
      </c>
      <c r="F109">
        <v>1</v>
      </c>
      <c r="G109">
        <v>1</v>
      </c>
      <c r="H109">
        <v>3</v>
      </c>
      <c r="I109" t="s">
        <v>440</v>
      </c>
      <c r="J109" t="s">
        <v>441</v>
      </c>
      <c r="K109" t="s">
        <v>442</v>
      </c>
      <c r="L109">
        <v>1308</v>
      </c>
      <c r="N109">
        <v>1003</v>
      </c>
      <c r="O109" t="s">
        <v>90</v>
      </c>
      <c r="P109" t="s">
        <v>90</v>
      </c>
      <c r="Q109">
        <v>100</v>
      </c>
      <c r="W109">
        <v>0</v>
      </c>
      <c r="X109">
        <v>611857035</v>
      </c>
      <c r="Y109">
        <v>2.3999999999999998E-3</v>
      </c>
      <c r="AA109">
        <v>565.69000000000005</v>
      </c>
      <c r="AB109">
        <v>0</v>
      </c>
      <c r="AC109">
        <v>0</v>
      </c>
      <c r="AD109">
        <v>0</v>
      </c>
      <c r="AE109">
        <v>120.36</v>
      </c>
      <c r="AF109">
        <v>0</v>
      </c>
      <c r="AG109">
        <v>0</v>
      </c>
      <c r="AH109">
        <v>0</v>
      </c>
      <c r="AI109">
        <v>4.7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6</v>
      </c>
      <c r="AT109">
        <v>2.3999999999999998E-3</v>
      </c>
      <c r="AU109" t="s">
        <v>6</v>
      </c>
      <c r="AV109">
        <v>0</v>
      </c>
      <c r="AW109">
        <v>2</v>
      </c>
      <c r="AX109">
        <v>48277513</v>
      </c>
      <c r="AY109">
        <v>1</v>
      </c>
      <c r="AZ109">
        <v>0</v>
      </c>
      <c r="BA109">
        <v>103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Y109*Source!I88</f>
        <v>7.1999999999999998E-3</v>
      </c>
      <c r="CY109">
        <f t="shared" si="21"/>
        <v>565.69000000000005</v>
      </c>
      <c r="CZ109">
        <f t="shared" si="22"/>
        <v>120.36</v>
      </c>
      <c r="DA109">
        <f t="shared" si="23"/>
        <v>4.7</v>
      </c>
      <c r="DB109">
        <f t="shared" si="24"/>
        <v>0.28999999999999998</v>
      </c>
      <c r="DC109">
        <f t="shared" si="25"/>
        <v>0</v>
      </c>
    </row>
    <row r="110" spans="1:107" x14ac:dyDescent="0.2">
      <c r="A110">
        <f>ROW(Source!A88)</f>
        <v>88</v>
      </c>
      <c r="B110">
        <v>48276314</v>
      </c>
      <c r="C110">
        <v>48276748</v>
      </c>
      <c r="D110">
        <v>29171692</v>
      </c>
      <c r="E110">
        <v>1</v>
      </c>
      <c r="F110">
        <v>1</v>
      </c>
      <c r="G110">
        <v>1</v>
      </c>
      <c r="H110">
        <v>3</v>
      </c>
      <c r="I110" t="s">
        <v>466</v>
      </c>
      <c r="J110" t="s">
        <v>467</v>
      </c>
      <c r="K110" t="s">
        <v>468</v>
      </c>
      <c r="L110">
        <v>1348</v>
      </c>
      <c r="N110">
        <v>1009</v>
      </c>
      <c r="O110" t="s">
        <v>215</v>
      </c>
      <c r="P110" t="s">
        <v>215</v>
      </c>
      <c r="Q110">
        <v>1000</v>
      </c>
      <c r="W110">
        <v>0</v>
      </c>
      <c r="X110">
        <v>1704105755</v>
      </c>
      <c r="Y110">
        <v>2.0000000000000002E-5</v>
      </c>
      <c r="AA110">
        <v>47997.5</v>
      </c>
      <c r="AB110">
        <v>0</v>
      </c>
      <c r="AC110">
        <v>0</v>
      </c>
      <c r="AD110">
        <v>0</v>
      </c>
      <c r="AE110">
        <v>7679.6</v>
      </c>
      <c r="AF110">
        <v>0</v>
      </c>
      <c r="AG110">
        <v>0</v>
      </c>
      <c r="AH110">
        <v>0</v>
      </c>
      <c r="AI110">
        <v>6.25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6</v>
      </c>
      <c r="AT110">
        <v>2.0000000000000002E-5</v>
      </c>
      <c r="AU110" t="s">
        <v>6</v>
      </c>
      <c r="AV110">
        <v>0</v>
      </c>
      <c r="AW110">
        <v>2</v>
      </c>
      <c r="AX110">
        <v>48277514</v>
      </c>
      <c r="AY110">
        <v>1</v>
      </c>
      <c r="AZ110">
        <v>0</v>
      </c>
      <c r="BA110">
        <v>104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Y110*Source!I88</f>
        <v>6.0000000000000008E-5</v>
      </c>
      <c r="CY110">
        <f t="shared" si="21"/>
        <v>47997.5</v>
      </c>
      <c r="CZ110">
        <f t="shared" si="22"/>
        <v>7679.6</v>
      </c>
      <c r="DA110">
        <f t="shared" si="23"/>
        <v>6.25</v>
      </c>
      <c r="DB110">
        <f t="shared" si="24"/>
        <v>0.15</v>
      </c>
      <c r="DC110">
        <f t="shared" si="25"/>
        <v>0</v>
      </c>
    </row>
    <row r="111" spans="1:107" x14ac:dyDescent="0.2">
      <c r="A111">
        <f>ROW(Source!A88)</f>
        <v>88</v>
      </c>
      <c r="B111">
        <v>48276314</v>
      </c>
      <c r="C111">
        <v>48276748</v>
      </c>
      <c r="D111">
        <v>29163458</v>
      </c>
      <c r="E111">
        <v>1</v>
      </c>
      <c r="F111">
        <v>1</v>
      </c>
      <c r="G111">
        <v>1</v>
      </c>
      <c r="H111">
        <v>3</v>
      </c>
      <c r="I111" t="s">
        <v>242</v>
      </c>
      <c r="J111" t="s">
        <v>244</v>
      </c>
      <c r="K111" t="s">
        <v>243</v>
      </c>
      <c r="L111">
        <v>1355</v>
      </c>
      <c r="N111">
        <v>1010</v>
      </c>
      <c r="O111" t="s">
        <v>225</v>
      </c>
      <c r="P111" t="s">
        <v>225</v>
      </c>
      <c r="Q111">
        <v>100</v>
      </c>
      <c r="W111">
        <v>0</v>
      </c>
      <c r="X111">
        <v>-233835936</v>
      </c>
      <c r="Y111">
        <v>3.1E-2</v>
      </c>
      <c r="AA111">
        <v>6617.28</v>
      </c>
      <c r="AB111">
        <v>0</v>
      </c>
      <c r="AC111">
        <v>0</v>
      </c>
      <c r="AD111">
        <v>0</v>
      </c>
      <c r="AE111">
        <v>1356</v>
      </c>
      <c r="AF111">
        <v>0</v>
      </c>
      <c r="AG111">
        <v>0</v>
      </c>
      <c r="AH111">
        <v>0</v>
      </c>
      <c r="AI111">
        <v>4.88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6</v>
      </c>
      <c r="AT111">
        <v>3.1E-2</v>
      </c>
      <c r="AU111" t="s">
        <v>6</v>
      </c>
      <c r="AV111">
        <v>0</v>
      </c>
      <c r="AW111">
        <v>2</v>
      </c>
      <c r="AX111">
        <v>48277515</v>
      </c>
      <c r="AY111">
        <v>1</v>
      </c>
      <c r="AZ111">
        <v>0</v>
      </c>
      <c r="BA111">
        <v>105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Y111*Source!I88</f>
        <v>9.2999999999999999E-2</v>
      </c>
      <c r="CY111">
        <f t="shared" si="21"/>
        <v>6617.28</v>
      </c>
      <c r="CZ111">
        <f t="shared" si="22"/>
        <v>1356</v>
      </c>
      <c r="DA111">
        <f t="shared" si="23"/>
        <v>4.88</v>
      </c>
      <c r="DB111">
        <f t="shared" si="24"/>
        <v>42.04</v>
      </c>
      <c r="DC111">
        <f t="shared" si="25"/>
        <v>0</v>
      </c>
    </row>
    <row r="112" spans="1:107" x14ac:dyDescent="0.2">
      <c r="A112">
        <f>ROW(Source!A88)</f>
        <v>88</v>
      </c>
      <c r="B112">
        <v>48276314</v>
      </c>
      <c r="C112">
        <v>48276748</v>
      </c>
      <c r="D112">
        <v>29163458</v>
      </c>
      <c r="E112">
        <v>1</v>
      </c>
      <c r="F112">
        <v>1</v>
      </c>
      <c r="G112">
        <v>1</v>
      </c>
      <c r="H112">
        <v>3</v>
      </c>
      <c r="I112" t="s">
        <v>242</v>
      </c>
      <c r="J112" t="s">
        <v>244</v>
      </c>
      <c r="K112" t="s">
        <v>243</v>
      </c>
      <c r="L112">
        <v>1355</v>
      </c>
      <c r="N112">
        <v>1010</v>
      </c>
      <c r="O112" t="s">
        <v>225</v>
      </c>
      <c r="P112" t="s">
        <v>225</v>
      </c>
      <c r="Q112">
        <v>100</v>
      </c>
      <c r="W112">
        <v>0</v>
      </c>
      <c r="X112">
        <v>-233835936</v>
      </c>
      <c r="Y112">
        <v>-3.1E-2</v>
      </c>
      <c r="AA112">
        <v>6617.28</v>
      </c>
      <c r="AB112">
        <v>0</v>
      </c>
      <c r="AC112">
        <v>0</v>
      </c>
      <c r="AD112">
        <v>0</v>
      </c>
      <c r="AE112">
        <v>1356</v>
      </c>
      <c r="AF112">
        <v>0</v>
      </c>
      <c r="AG112">
        <v>0</v>
      </c>
      <c r="AH112">
        <v>0</v>
      </c>
      <c r="AI112">
        <v>4.88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-3.1E-2</v>
      </c>
      <c r="AU112" t="s">
        <v>6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Y112*Source!I88</f>
        <v>-9.2999999999999999E-2</v>
      </c>
      <c r="CY112">
        <f t="shared" si="21"/>
        <v>6617.28</v>
      </c>
      <c r="CZ112">
        <f t="shared" si="22"/>
        <v>1356</v>
      </c>
      <c r="DA112">
        <f t="shared" si="23"/>
        <v>4.88</v>
      </c>
      <c r="DB112">
        <f t="shared" si="24"/>
        <v>-42.04</v>
      </c>
      <c r="DC112">
        <f t="shared" si="25"/>
        <v>0</v>
      </c>
    </row>
    <row r="113" spans="1:107" x14ac:dyDescent="0.2">
      <c r="A113">
        <f>ROW(Source!A88)</f>
        <v>88</v>
      </c>
      <c r="B113">
        <v>48276314</v>
      </c>
      <c r="C113">
        <v>48276748</v>
      </c>
      <c r="D113">
        <v>29171808</v>
      </c>
      <c r="E113">
        <v>1</v>
      </c>
      <c r="F113">
        <v>1</v>
      </c>
      <c r="G113">
        <v>1</v>
      </c>
      <c r="H113">
        <v>3</v>
      </c>
      <c r="I113" t="s">
        <v>384</v>
      </c>
      <c r="J113" t="s">
        <v>385</v>
      </c>
      <c r="K113" t="s">
        <v>386</v>
      </c>
      <c r="L113">
        <v>1374</v>
      </c>
      <c r="N113">
        <v>1013</v>
      </c>
      <c r="O113" t="s">
        <v>387</v>
      </c>
      <c r="P113" t="s">
        <v>387</v>
      </c>
      <c r="Q113">
        <v>1</v>
      </c>
      <c r="W113">
        <v>0</v>
      </c>
      <c r="X113">
        <v>-915781824</v>
      </c>
      <c r="Y113">
        <v>1.51</v>
      </c>
      <c r="AA113">
        <v>1</v>
      </c>
      <c r="AB113">
        <v>0</v>
      </c>
      <c r="AC113">
        <v>0</v>
      </c>
      <c r="AD113">
        <v>0</v>
      </c>
      <c r="AE113">
        <v>1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6</v>
      </c>
      <c r="AT113">
        <v>1.51</v>
      </c>
      <c r="AU113" t="s">
        <v>6</v>
      </c>
      <c r="AV113">
        <v>0</v>
      </c>
      <c r="AW113">
        <v>2</v>
      </c>
      <c r="AX113">
        <v>48277516</v>
      </c>
      <c r="AY113">
        <v>1</v>
      </c>
      <c r="AZ113">
        <v>0</v>
      </c>
      <c r="BA113">
        <v>106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Y113*Source!I88</f>
        <v>4.53</v>
      </c>
      <c r="CY113">
        <f t="shared" si="21"/>
        <v>1</v>
      </c>
      <c r="CZ113">
        <f t="shared" si="22"/>
        <v>1</v>
      </c>
      <c r="DA113">
        <f t="shared" si="23"/>
        <v>1</v>
      </c>
      <c r="DB113">
        <f t="shared" si="24"/>
        <v>1.51</v>
      </c>
      <c r="DC113">
        <f t="shared" si="25"/>
        <v>0</v>
      </c>
    </row>
    <row r="114" spans="1:107" x14ac:dyDescent="0.2">
      <c r="A114">
        <f>ROW(Source!A90)</f>
        <v>90</v>
      </c>
      <c r="B114">
        <v>48276314</v>
      </c>
      <c r="C114">
        <v>48276769</v>
      </c>
      <c r="D114">
        <v>23670931</v>
      </c>
      <c r="E114">
        <v>1</v>
      </c>
      <c r="F114">
        <v>1</v>
      </c>
      <c r="G114">
        <v>1</v>
      </c>
      <c r="H114">
        <v>1</v>
      </c>
      <c r="I114" t="s">
        <v>472</v>
      </c>
      <c r="J114" t="s">
        <v>6</v>
      </c>
      <c r="K114" t="s">
        <v>473</v>
      </c>
      <c r="L114">
        <v>1369</v>
      </c>
      <c r="N114">
        <v>1013</v>
      </c>
      <c r="O114" t="s">
        <v>356</v>
      </c>
      <c r="P114" t="s">
        <v>356</v>
      </c>
      <c r="Q114">
        <v>1</v>
      </c>
      <c r="W114">
        <v>0</v>
      </c>
      <c r="X114">
        <v>1885371766</v>
      </c>
      <c r="Y114">
        <v>5.0784000000000002</v>
      </c>
      <c r="AA114">
        <v>0</v>
      </c>
      <c r="AB114">
        <v>0</v>
      </c>
      <c r="AC114">
        <v>0</v>
      </c>
      <c r="AD114">
        <v>241</v>
      </c>
      <c r="AE114">
        <v>0</v>
      </c>
      <c r="AF114">
        <v>0</v>
      </c>
      <c r="AG114">
        <v>0</v>
      </c>
      <c r="AH114">
        <v>241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3.68</v>
      </c>
      <c r="AU114" t="s">
        <v>49</v>
      </c>
      <c r="AV114">
        <v>1</v>
      </c>
      <c r="AW114">
        <v>2</v>
      </c>
      <c r="AX114">
        <v>48276773</v>
      </c>
      <c r="AY114">
        <v>2</v>
      </c>
      <c r="AZ114">
        <v>131072</v>
      </c>
      <c r="BA114">
        <v>107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Y114*Source!I90</f>
        <v>48.651071999999999</v>
      </c>
      <c r="CY114">
        <f>AD114</f>
        <v>241</v>
      </c>
      <c r="CZ114">
        <f>AH114</f>
        <v>241</v>
      </c>
      <c r="DA114">
        <f>AL114</f>
        <v>1</v>
      </c>
      <c r="DB114">
        <f>ROUND(((ROUND(AT114*CZ114,2)*1.2)*1.15),2)</f>
        <v>1223.8900000000001</v>
      </c>
      <c r="DC114">
        <f>ROUND(((ROUND(AT114*AG114,2)*1.2)*1.15),2)</f>
        <v>0</v>
      </c>
    </row>
    <row r="115" spans="1:107" x14ac:dyDescent="0.2">
      <c r="A115">
        <f>ROW(Source!A90)</f>
        <v>90</v>
      </c>
      <c r="B115">
        <v>48276314</v>
      </c>
      <c r="C115">
        <v>48276769</v>
      </c>
      <c r="D115">
        <v>38771290</v>
      </c>
      <c r="E115">
        <v>1</v>
      </c>
      <c r="F115">
        <v>1</v>
      </c>
      <c r="G115">
        <v>1</v>
      </c>
      <c r="H115">
        <v>2</v>
      </c>
      <c r="I115" t="s">
        <v>474</v>
      </c>
      <c r="J115" t="s">
        <v>475</v>
      </c>
      <c r="K115" t="s">
        <v>476</v>
      </c>
      <c r="L115">
        <v>1368</v>
      </c>
      <c r="N115">
        <v>1011</v>
      </c>
      <c r="O115" t="s">
        <v>364</v>
      </c>
      <c r="P115" t="s">
        <v>364</v>
      </c>
      <c r="Q115">
        <v>1</v>
      </c>
      <c r="W115">
        <v>0</v>
      </c>
      <c r="X115">
        <v>866603792</v>
      </c>
      <c r="Y115">
        <v>9.6600000000000005E-2</v>
      </c>
      <c r="AA115">
        <v>0</v>
      </c>
      <c r="AB115">
        <v>989.89</v>
      </c>
      <c r="AC115">
        <v>348.58</v>
      </c>
      <c r="AD115">
        <v>0</v>
      </c>
      <c r="AE115">
        <v>0</v>
      </c>
      <c r="AF115">
        <v>105.42</v>
      </c>
      <c r="AG115">
        <v>11.6</v>
      </c>
      <c r="AH115">
        <v>0</v>
      </c>
      <c r="AI115">
        <v>1</v>
      </c>
      <c r="AJ115">
        <v>9.39</v>
      </c>
      <c r="AK115">
        <v>30.05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6</v>
      </c>
      <c r="AT115">
        <v>7.0000000000000007E-2</v>
      </c>
      <c r="AU115" t="s">
        <v>49</v>
      </c>
      <c r="AV115">
        <v>0</v>
      </c>
      <c r="AW115">
        <v>2</v>
      </c>
      <c r="AX115">
        <v>48276774</v>
      </c>
      <c r="AY115">
        <v>1</v>
      </c>
      <c r="AZ115">
        <v>0</v>
      </c>
      <c r="BA115">
        <v>108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Y115*Source!I90</f>
        <v>0.92542800000000003</v>
      </c>
      <c r="CY115">
        <f>AB115</f>
        <v>989.89</v>
      </c>
      <c r="CZ115">
        <f>AF115</f>
        <v>105.42</v>
      </c>
      <c r="DA115">
        <f>AJ115</f>
        <v>9.39</v>
      </c>
      <c r="DB115">
        <f>ROUND(((ROUND(AT115*CZ115,2)*1.2)*1.15),2)</f>
        <v>10.18</v>
      </c>
      <c r="DC115">
        <f>ROUND(((ROUND(AT115*AG115,2)*1.2)*1.15),2)</f>
        <v>1.1200000000000001</v>
      </c>
    </row>
    <row r="116" spans="1:107" x14ac:dyDescent="0.2">
      <c r="A116">
        <f>ROW(Source!A90)</f>
        <v>90</v>
      </c>
      <c r="B116">
        <v>48276314</v>
      </c>
      <c r="C116">
        <v>48276769</v>
      </c>
      <c r="D116">
        <v>38838344</v>
      </c>
      <c r="E116">
        <v>1</v>
      </c>
      <c r="F116">
        <v>1</v>
      </c>
      <c r="G116">
        <v>1</v>
      </c>
      <c r="H116">
        <v>3</v>
      </c>
      <c r="I116" t="s">
        <v>477</v>
      </c>
      <c r="J116" t="s">
        <v>478</v>
      </c>
      <c r="K116" t="s">
        <v>479</v>
      </c>
      <c r="L116">
        <v>1354</v>
      </c>
      <c r="N116">
        <v>1010</v>
      </c>
      <c r="O116" t="s">
        <v>81</v>
      </c>
      <c r="P116" t="s">
        <v>81</v>
      </c>
      <c r="Q116">
        <v>1</v>
      </c>
      <c r="W116">
        <v>0</v>
      </c>
      <c r="X116">
        <v>-2035091058</v>
      </c>
      <c r="Y116">
        <v>206</v>
      </c>
      <c r="AA116">
        <v>7</v>
      </c>
      <c r="AB116">
        <v>0</v>
      </c>
      <c r="AC116">
        <v>0</v>
      </c>
      <c r="AD116">
        <v>0</v>
      </c>
      <c r="AE116">
        <v>7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6</v>
      </c>
      <c r="AT116">
        <v>206</v>
      </c>
      <c r="AU116" t="s">
        <v>6</v>
      </c>
      <c r="AV116">
        <v>0</v>
      </c>
      <c r="AW116">
        <v>2</v>
      </c>
      <c r="AX116">
        <v>48276775</v>
      </c>
      <c r="AY116">
        <v>1</v>
      </c>
      <c r="AZ116">
        <v>0</v>
      </c>
      <c r="BA116">
        <v>109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Y116*Source!I90</f>
        <v>1973.48</v>
      </c>
      <c r="CY116">
        <f>AA116</f>
        <v>7</v>
      </c>
      <c r="CZ116">
        <f>AE116</f>
        <v>7</v>
      </c>
      <c r="DA116">
        <f>AI116</f>
        <v>1</v>
      </c>
      <c r="DB116">
        <f>ROUND(ROUND(AT116*CZ116,2),2)</f>
        <v>1442</v>
      </c>
      <c r="DC116">
        <f>ROUND(ROUND(AT116*AG116,2),2)</f>
        <v>0</v>
      </c>
    </row>
    <row r="117" spans="1:107" x14ac:dyDescent="0.2">
      <c r="A117">
        <f>ROW(Source!A125)</f>
        <v>125</v>
      </c>
      <c r="B117">
        <v>48276314</v>
      </c>
      <c r="C117">
        <v>48276877</v>
      </c>
      <c r="D117">
        <v>29477854</v>
      </c>
      <c r="E117">
        <v>1</v>
      </c>
      <c r="F117">
        <v>1</v>
      </c>
      <c r="G117">
        <v>1</v>
      </c>
      <c r="H117">
        <v>1</v>
      </c>
      <c r="I117" t="s">
        <v>480</v>
      </c>
      <c r="J117" t="s">
        <v>6</v>
      </c>
      <c r="K117" t="s">
        <v>481</v>
      </c>
      <c r="L117">
        <v>1369</v>
      </c>
      <c r="N117">
        <v>1013</v>
      </c>
      <c r="O117" t="s">
        <v>356</v>
      </c>
      <c r="P117" t="s">
        <v>356</v>
      </c>
      <c r="Q117">
        <v>1</v>
      </c>
      <c r="W117">
        <v>0</v>
      </c>
      <c r="X117">
        <v>1377046079</v>
      </c>
      <c r="Y117">
        <v>2.5219999999999998</v>
      </c>
      <c r="AA117">
        <v>0</v>
      </c>
      <c r="AB117">
        <v>0</v>
      </c>
      <c r="AC117">
        <v>0</v>
      </c>
      <c r="AD117">
        <v>289.08</v>
      </c>
      <c r="AE117">
        <v>0</v>
      </c>
      <c r="AF117">
        <v>0</v>
      </c>
      <c r="AG117">
        <v>0</v>
      </c>
      <c r="AH117">
        <v>289.08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6</v>
      </c>
      <c r="AT117">
        <v>1.94</v>
      </c>
      <c r="AU117" t="s">
        <v>257</v>
      </c>
      <c r="AV117">
        <v>1</v>
      </c>
      <c r="AW117">
        <v>2</v>
      </c>
      <c r="AX117">
        <v>48276880</v>
      </c>
      <c r="AY117">
        <v>2</v>
      </c>
      <c r="AZ117">
        <v>131072</v>
      </c>
      <c r="BA117">
        <v>110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Y117*Source!I125</f>
        <v>7.5659999999999989</v>
      </c>
      <c r="CY117">
        <f>AD117</f>
        <v>289.08</v>
      </c>
      <c r="CZ117">
        <f>AH117</f>
        <v>289.08</v>
      </c>
      <c r="DA117">
        <f>AL117</f>
        <v>1</v>
      </c>
      <c r="DB117">
        <f>ROUND((ROUND(AT117*CZ117,2)*1.3),2)</f>
        <v>729.07</v>
      </c>
      <c r="DC117">
        <f>ROUND((ROUND(AT117*AG117,2)*1.3),2)</f>
        <v>0</v>
      </c>
    </row>
    <row r="118" spans="1:107" x14ac:dyDescent="0.2">
      <c r="A118">
        <f>ROW(Source!A125)</f>
        <v>125</v>
      </c>
      <c r="B118">
        <v>48276314</v>
      </c>
      <c r="C118">
        <v>48276877</v>
      </c>
      <c r="D118">
        <v>29477608</v>
      </c>
      <c r="E118">
        <v>1</v>
      </c>
      <c r="F118">
        <v>1</v>
      </c>
      <c r="G118">
        <v>1</v>
      </c>
      <c r="H118">
        <v>1</v>
      </c>
      <c r="I118" t="s">
        <v>482</v>
      </c>
      <c r="J118" t="s">
        <v>6</v>
      </c>
      <c r="K118" t="s">
        <v>483</v>
      </c>
      <c r="L118">
        <v>1369</v>
      </c>
      <c r="N118">
        <v>1013</v>
      </c>
      <c r="O118" t="s">
        <v>356</v>
      </c>
      <c r="P118" t="s">
        <v>356</v>
      </c>
      <c r="Q118">
        <v>1</v>
      </c>
      <c r="W118">
        <v>0</v>
      </c>
      <c r="X118">
        <v>2087786099</v>
      </c>
      <c r="Y118">
        <v>3.7959999999999998</v>
      </c>
      <c r="AA118">
        <v>0</v>
      </c>
      <c r="AB118">
        <v>0</v>
      </c>
      <c r="AC118">
        <v>0</v>
      </c>
      <c r="AD118">
        <v>12.69</v>
      </c>
      <c r="AE118">
        <v>0</v>
      </c>
      <c r="AF118">
        <v>0</v>
      </c>
      <c r="AG118">
        <v>0</v>
      </c>
      <c r="AH118">
        <v>12.69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6</v>
      </c>
      <c r="AT118">
        <v>2.92</v>
      </c>
      <c r="AU118" t="s">
        <v>257</v>
      </c>
      <c r="AV118">
        <v>1</v>
      </c>
      <c r="AW118">
        <v>2</v>
      </c>
      <c r="AX118">
        <v>48276881</v>
      </c>
      <c r="AY118">
        <v>1</v>
      </c>
      <c r="AZ118">
        <v>0</v>
      </c>
      <c r="BA118">
        <v>111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Y118*Source!I125</f>
        <v>11.388</v>
      </c>
      <c r="CY118">
        <f>AD118</f>
        <v>12.69</v>
      </c>
      <c r="CZ118">
        <f>AH118</f>
        <v>12.69</v>
      </c>
      <c r="DA118">
        <f>AL118</f>
        <v>1</v>
      </c>
      <c r="DB118">
        <f>ROUND((ROUND(AT118*CZ118,2)*1.3),2)</f>
        <v>48.17</v>
      </c>
      <c r="DC118">
        <f>ROUND((ROUND(AT118*AG118,2)*1.3),2)</f>
        <v>0</v>
      </c>
    </row>
    <row r="119" spans="1:107" x14ac:dyDescent="0.2">
      <c r="A119">
        <f>ROW(Source!A126)</f>
        <v>126</v>
      </c>
      <c r="B119">
        <v>48276314</v>
      </c>
      <c r="C119">
        <v>48276882</v>
      </c>
      <c r="D119">
        <v>29478568</v>
      </c>
      <c r="E119">
        <v>1</v>
      </c>
      <c r="F119">
        <v>1</v>
      </c>
      <c r="G119">
        <v>1</v>
      </c>
      <c r="H119">
        <v>1</v>
      </c>
      <c r="I119" t="s">
        <v>484</v>
      </c>
      <c r="J119" t="s">
        <v>6</v>
      </c>
      <c r="K119" t="s">
        <v>485</v>
      </c>
      <c r="L119">
        <v>1369</v>
      </c>
      <c r="N119">
        <v>1013</v>
      </c>
      <c r="O119" t="s">
        <v>356</v>
      </c>
      <c r="P119" t="s">
        <v>356</v>
      </c>
      <c r="Q119">
        <v>1</v>
      </c>
      <c r="W119">
        <v>0</v>
      </c>
      <c r="X119">
        <v>177969336</v>
      </c>
      <c r="Y119">
        <v>1.0530000000000002</v>
      </c>
      <c r="AA119">
        <v>0</v>
      </c>
      <c r="AB119">
        <v>0</v>
      </c>
      <c r="AC119">
        <v>0</v>
      </c>
      <c r="AD119">
        <v>388.24</v>
      </c>
      <c r="AE119">
        <v>0</v>
      </c>
      <c r="AF119">
        <v>0</v>
      </c>
      <c r="AG119">
        <v>0</v>
      </c>
      <c r="AH119">
        <v>388.24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6</v>
      </c>
      <c r="AT119">
        <v>0.81</v>
      </c>
      <c r="AU119" t="s">
        <v>257</v>
      </c>
      <c r="AV119">
        <v>1</v>
      </c>
      <c r="AW119">
        <v>2</v>
      </c>
      <c r="AX119">
        <v>48276885</v>
      </c>
      <c r="AY119">
        <v>2</v>
      </c>
      <c r="AZ119">
        <v>131072</v>
      </c>
      <c r="BA119">
        <v>112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Y119*Source!I126</f>
        <v>3.1590000000000007</v>
      </c>
      <c r="CY119">
        <f>AD119</f>
        <v>388.24</v>
      </c>
      <c r="CZ119">
        <f>AH119</f>
        <v>388.24</v>
      </c>
      <c r="DA119">
        <f>AL119</f>
        <v>1</v>
      </c>
      <c r="DB119">
        <f>ROUND((ROUND(AT119*CZ119,2)*1.3),2)</f>
        <v>408.81</v>
      </c>
      <c r="DC119">
        <f>ROUND((ROUND(AT119*AG119,2)*1.3),2)</f>
        <v>0</v>
      </c>
    </row>
    <row r="120" spans="1:107" x14ac:dyDescent="0.2">
      <c r="A120">
        <f>ROW(Source!A126)</f>
        <v>126</v>
      </c>
      <c r="B120">
        <v>48276314</v>
      </c>
      <c r="C120">
        <v>48276882</v>
      </c>
      <c r="D120">
        <v>29477608</v>
      </c>
      <c r="E120">
        <v>1</v>
      </c>
      <c r="F120">
        <v>1</v>
      </c>
      <c r="G120">
        <v>1</v>
      </c>
      <c r="H120">
        <v>1</v>
      </c>
      <c r="I120" t="s">
        <v>482</v>
      </c>
      <c r="J120" t="s">
        <v>6</v>
      </c>
      <c r="K120" t="s">
        <v>483</v>
      </c>
      <c r="L120">
        <v>1369</v>
      </c>
      <c r="N120">
        <v>1013</v>
      </c>
      <c r="O120" t="s">
        <v>356</v>
      </c>
      <c r="P120" t="s">
        <v>356</v>
      </c>
      <c r="Q120">
        <v>1</v>
      </c>
      <c r="W120">
        <v>0</v>
      </c>
      <c r="X120">
        <v>2087786099</v>
      </c>
      <c r="Y120">
        <v>1.0530000000000002</v>
      </c>
      <c r="AA120">
        <v>0</v>
      </c>
      <c r="AB120">
        <v>0</v>
      </c>
      <c r="AC120">
        <v>0</v>
      </c>
      <c r="AD120">
        <v>12.69</v>
      </c>
      <c r="AE120">
        <v>0</v>
      </c>
      <c r="AF120">
        <v>0</v>
      </c>
      <c r="AG120">
        <v>0</v>
      </c>
      <c r="AH120">
        <v>12.69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6</v>
      </c>
      <c r="AT120">
        <v>0.81</v>
      </c>
      <c r="AU120" t="s">
        <v>257</v>
      </c>
      <c r="AV120">
        <v>1</v>
      </c>
      <c r="AW120">
        <v>2</v>
      </c>
      <c r="AX120">
        <v>48276886</v>
      </c>
      <c r="AY120">
        <v>1</v>
      </c>
      <c r="AZ120">
        <v>0</v>
      </c>
      <c r="BA120">
        <v>113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Y120*Source!I126</f>
        <v>3.1590000000000007</v>
      </c>
      <c r="CY120">
        <f>AD120</f>
        <v>12.69</v>
      </c>
      <c r="CZ120">
        <f>AH120</f>
        <v>12.69</v>
      </c>
      <c r="DA120">
        <f>AL120</f>
        <v>1</v>
      </c>
      <c r="DB120">
        <f>ROUND((ROUND(AT120*CZ120,2)*1.3),2)</f>
        <v>13.36</v>
      </c>
      <c r="DC120">
        <f>ROUND((ROUND(AT120*AG120,2)*1.3),2)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Смета 12 гр. по ФЕР</vt:lpstr>
      <vt:lpstr>Акт КС-2 13 гр. по ФЕР</vt:lpstr>
      <vt:lpstr>Дефектная ведомость</vt:lpstr>
      <vt:lpstr>Ведомость объемов работ</vt:lpstr>
      <vt:lpstr>RV_DATA</vt:lpstr>
      <vt:lpstr>Расчет стоимости ресурсов</vt:lpstr>
      <vt:lpstr>Source</vt:lpstr>
      <vt:lpstr>SourceObSm</vt:lpstr>
      <vt:lpstr>SmtRes</vt:lpstr>
      <vt:lpstr>EtalonRes</vt:lpstr>
      <vt:lpstr>'Акт КС-2 13 гр. по ФЕР'!Заголовки_для_печати</vt:lpstr>
      <vt:lpstr>'Ведомость объемов работ'!Заголовки_для_печати</vt:lpstr>
      <vt:lpstr>'Дефектная ведомость'!Заголовки_для_печати</vt:lpstr>
      <vt:lpstr>'Расчет стоимости ресурсов'!Заголовки_для_печати</vt:lpstr>
      <vt:lpstr>'Смета 12 гр. по ФЕР'!Заголовки_для_печати</vt:lpstr>
      <vt:lpstr>'Акт КС-2 13 гр. по ФЕР'!Область_печати</vt:lpstr>
      <vt:lpstr>'Ведомость объемов работ'!Область_печати</vt:lpstr>
      <vt:lpstr>'Дефектная ведомость'!Область_печати</vt:lpstr>
      <vt:lpstr>'Расчет стоимости ресурсов'!Область_печати</vt:lpstr>
      <vt:lpstr>'Смета 12 гр. по ФЕР'!Область_печати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2020-02-13T11:02:32Z</dcterms:created>
  <dcterms:modified xsi:type="dcterms:W3CDTF">2020-02-20T17:00:08Z</dcterms:modified>
</cp:coreProperties>
</file>